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6D8B8B7-C7FC-4081-94B0-674EEA0E2E49}" xr6:coauthVersionLast="44" xr6:coauthVersionMax="44" xr10:uidLastSave="{00000000-0000-0000-0000-000000000000}"/>
  <bookViews>
    <workbookView xWindow="28690" yWindow="-110" windowWidth="29020" windowHeight="17620" xr2:uid="{00000000-000D-0000-FFFF-FFFF00000000}"/>
  </bookViews>
  <sheets>
    <sheet name="Fundație depozit frigorific" sheetId="1" r:id="rId1"/>
    <sheet name="Uși de depozit frigorific" sheetId="4" r:id="rId2"/>
    <sheet name="Sheet2" sheetId="2" state="hidden" r:id="rId3"/>
    <sheet name="Sheet3" sheetId="3" state="hidden" r:id="rId4"/>
  </sheets>
  <definedNames>
    <definedName name="_14_76_W">Sheet2!$Y$13:$Y$14</definedName>
    <definedName name="_16_4_W">Sheet2!$Z$13:$Z$14</definedName>
    <definedName name="_16_47_W">Sheet2!$K$13:$K$14</definedName>
    <definedName name="_18_3_W">Sheet2!$L$13:$L$14</definedName>
    <definedName name="_18_W">Sheet2!$D$13:$D$14</definedName>
    <definedName name="_19_62_W">Sheet2!$R$13:$R$14</definedName>
    <definedName name="_20_W">Sheet2!$E$13:$E$14</definedName>
    <definedName name="_21_08_W">Sheet2!$S$13:$S$14</definedName>
    <definedName name="_24_6_W">Sheet2!$AA$13:$AA$16</definedName>
    <definedName name="_246_W">Sheet2!$AB$15</definedName>
    <definedName name="_27_45_W">Sheet2!$M$13:$M$16</definedName>
    <definedName name="_274_5_W">Sheet2!$N$15</definedName>
    <definedName name="_30_W">Sheet2!$F$13:$F$16</definedName>
    <definedName name="_300_W">Sheet2!$G$15</definedName>
    <definedName name="_32_7_W">Sheet2!$T$13:$T$16</definedName>
    <definedName name="_327_W">Sheet2!$U$15</definedName>
    <definedName name="Heating_elements">Sheet2!$B$20:$B$31</definedName>
    <definedName name="Insulation">'Fundație depozit frigorific'!$H$5:$H$9</definedName>
    <definedName name="Pipe_Diameter">'Fundație depozit frigorific'!#REF!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2" l="1"/>
  <c r="E35" i="2"/>
  <c r="G35" i="2"/>
  <c r="I35" i="2"/>
  <c r="C36" i="2"/>
  <c r="E36" i="2"/>
  <c r="G36" i="2"/>
  <c r="I36" i="2"/>
  <c r="C37" i="2"/>
  <c r="E37" i="2"/>
  <c r="G37" i="2"/>
  <c r="I37" i="2"/>
  <c r="C38" i="2"/>
  <c r="E38" i="2"/>
  <c r="G38" i="2"/>
  <c r="I38" i="2"/>
  <c r="C39" i="2"/>
  <c r="E39" i="2"/>
  <c r="G39" i="2"/>
  <c r="I39" i="2"/>
  <c r="C20" i="1"/>
  <c r="M23" i="2" s="1"/>
  <c r="C22" i="1" s="1"/>
  <c r="C29" i="1" l="1"/>
  <c r="H47" i="2"/>
  <c r="H46" i="2"/>
  <c r="G47" i="2"/>
  <c r="G46" i="2"/>
  <c r="E46" i="2"/>
  <c r="D46" i="2"/>
  <c r="C46" i="2"/>
  <c r="D42" i="2"/>
  <c r="E43" i="2" l="1"/>
  <c r="E44" i="2"/>
  <c r="E45" i="2"/>
  <c r="E42" i="2"/>
  <c r="D43" i="2"/>
  <c r="D44" i="2"/>
  <c r="D45" i="2"/>
  <c r="Q25" i="2" l="1"/>
  <c r="Q24" i="2"/>
  <c r="Q22" i="2"/>
  <c r="Q21" i="2"/>
  <c r="Q23" i="2"/>
  <c r="B29" i="1" l="1"/>
  <c r="C28" i="4"/>
  <c r="M32" i="2" s="1"/>
  <c r="C16" i="4"/>
  <c r="C23" i="1" l="1"/>
  <c r="C32" i="4" l="1"/>
  <c r="C30" i="4"/>
  <c r="C20" i="4"/>
  <c r="C19" i="4"/>
  <c r="C22" i="4" s="1"/>
  <c r="C25" i="1"/>
  <c r="C30" i="1"/>
  <c r="C17" i="1"/>
  <c r="C33" i="4" l="1"/>
  <c r="C34" i="4"/>
  <c r="C24" i="4"/>
  <c r="C21" i="4"/>
  <c r="C23" i="4" s="1"/>
  <c r="M30" i="2"/>
  <c r="C18" i="4" s="1"/>
  <c r="C24" i="1"/>
  <c r="M21" i="2" l="1"/>
  <c r="A26" i="3" l="1"/>
  <c r="A25" i="3"/>
  <c r="A24" i="3"/>
  <c r="A23" i="3"/>
  <c r="A22" i="3"/>
  <c r="A21" i="3"/>
  <c r="A20" i="3"/>
  <c r="A19" i="3"/>
  <c r="C32" i="1" l="1"/>
  <c r="C31" i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A14" i="2" l="1"/>
  <c r="AA15" i="2"/>
  <c r="AA16" i="2"/>
  <c r="AA13" i="2"/>
  <c r="Z14" i="2"/>
  <c r="Z13" i="2"/>
  <c r="Y14" i="2"/>
  <c r="Y13" i="2"/>
  <c r="AB15" i="2"/>
  <c r="U15" i="2"/>
  <c r="T14" i="2"/>
  <c r="T15" i="2"/>
  <c r="T16" i="2"/>
  <c r="T13" i="2"/>
  <c r="S14" i="2"/>
  <c r="S13" i="2"/>
  <c r="R14" i="2"/>
  <c r="R13" i="2"/>
  <c r="N15" i="2" l="1"/>
  <c r="M14" i="2"/>
  <c r="M15" i="2"/>
  <c r="M16" i="2"/>
  <c r="M13" i="2"/>
  <c r="L14" i="2"/>
  <c r="L13" i="2"/>
  <c r="K14" i="2"/>
  <c r="K13" i="2"/>
  <c r="D14" i="2" l="1"/>
  <c r="D13" i="2"/>
  <c r="F14" i="2" l="1"/>
  <c r="F15" i="2"/>
  <c r="F16" i="2"/>
  <c r="F13" i="2"/>
  <c r="E14" i="2"/>
  <c r="E13" i="2"/>
</calcChain>
</file>

<file path=xl/sharedStrings.xml><?xml version="1.0" encoding="utf-8"?>
<sst xmlns="http://schemas.openxmlformats.org/spreadsheetml/2006/main" count="276" uniqueCount="145">
  <si>
    <t>cm</t>
  </si>
  <si>
    <t>C-C distance, cm</t>
  </si>
  <si>
    <t>Table 1</t>
  </si>
  <si>
    <t>Table 2</t>
  </si>
  <si>
    <r>
      <rPr>
        <sz val="12"/>
        <color theme="1"/>
        <rFont val="Myriad Pro"/>
        <family val="2"/>
      </rPr>
      <t>°</t>
    </r>
    <r>
      <rPr>
        <sz val="12"/>
        <color theme="1"/>
        <rFont val="Calibri"/>
        <family val="2"/>
        <scheme val="minor"/>
      </rPr>
      <t>C</t>
    </r>
  </si>
  <si>
    <t>Constant values</t>
  </si>
  <si>
    <r>
      <t xml:space="preserve">Heat exchange coefficient, </t>
    </r>
    <r>
      <rPr>
        <sz val="12"/>
        <color theme="1"/>
        <rFont val="Myriad Pro"/>
        <family val="2"/>
      </rPr>
      <t>α</t>
    </r>
    <r>
      <rPr>
        <vertAlign val="subscript"/>
        <sz val="12"/>
        <color theme="1"/>
        <rFont val="Myriad Pro"/>
        <family val="2"/>
      </rPr>
      <t>out</t>
    </r>
  </si>
  <si>
    <r>
      <t>Min temp. on suface, t</t>
    </r>
    <r>
      <rPr>
        <vertAlign val="subscript"/>
        <sz val="12"/>
        <color theme="1"/>
        <rFont val="Calibri"/>
        <family val="2"/>
        <charset val="204"/>
        <scheme val="minor"/>
      </rPr>
      <t>surf</t>
    </r>
  </si>
  <si>
    <t>20 W/m</t>
  </si>
  <si>
    <t>30 W/m</t>
  </si>
  <si>
    <t>Danfoss</t>
  </si>
  <si>
    <t>DEVI</t>
  </si>
  <si>
    <t>ECbasic 20S, ECsafe 20T</t>
  </si>
  <si>
    <t>ECsnow 30T, ECasphalt 30T</t>
  </si>
  <si>
    <r>
      <t>DEVIsnow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30T, DEVIasphalt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</si>
  <si>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r>
      <t>DEVIsnow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300, DEVIasphalt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300</t>
    </r>
  </si>
  <si>
    <r>
      <t>W/m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</si>
  <si>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rPr>
        <b/>
        <sz val="12"/>
        <color theme="1"/>
        <rFont val="Calibri"/>
        <family val="2"/>
        <charset val="204"/>
        <scheme val="minor"/>
      </rPr>
      <t>Note.</t>
    </r>
    <r>
      <rPr>
        <sz val="12"/>
        <color theme="1"/>
        <rFont val="Calibri"/>
        <family val="2"/>
        <charset val="204"/>
        <scheme val="minor"/>
      </rPr>
      <t xml:space="preserve"> If a voltage of 220 V, use the coefficient 0,915 for cable output</t>
    </r>
  </si>
  <si>
    <r>
      <t>23 W/(m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scheme val="minor"/>
      </rPr>
      <t>·°C)</t>
    </r>
  </si>
  <si>
    <t>3 °C</t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</si>
  <si>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(230/400 V)</t>
    </r>
  </si>
  <si>
    <r>
      <t>300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</si>
  <si>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DEVIbasic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20S, DEVIsafe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20T,
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20T</t>
    </r>
  </si>
  <si>
    <r>
      <t xml:space="preserve">
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18T</t>
    </r>
  </si>
  <si>
    <t>18 W/m</t>
  </si>
  <si>
    <t>ECbasic 20S</t>
  </si>
  <si>
    <t>ECsafe 20T</t>
  </si>
  <si>
    <t>ECsnow 30T</t>
  </si>
  <si>
    <t>ECasphalt 30T</t>
  </si>
  <si>
    <t>W/m</t>
  </si>
  <si>
    <t>U</t>
  </si>
  <si>
    <t>V</t>
  </si>
  <si>
    <r>
      <t>W/m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</si>
  <si>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m</t>
  </si>
  <si>
    <t xml:space="preserve">W </t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</si>
  <si>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(220/380 V)</t>
    </r>
  </si>
  <si>
    <t>16,47 W/m</t>
  </si>
  <si>
    <t>18,3 W/m</t>
  </si>
  <si>
    <t>27,45 W/m</t>
  </si>
  <si>
    <r>
      <t>274,5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</si>
  <si>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m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</si>
  <si>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(240 V)</t>
    </r>
  </si>
  <si>
    <t>19,62 W/m</t>
  </si>
  <si>
    <t>21,08 W/m</t>
  </si>
  <si>
    <t>32,7 W/m</t>
  </si>
  <si>
    <r>
      <t>327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</si>
  <si>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230 V</t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</si>
  <si>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(208 V)</t>
    </r>
  </si>
  <si>
    <t>14,76 W/m</t>
  </si>
  <si>
    <t>16,4 W/m</t>
  </si>
  <si>
    <t>24,6 W/m</t>
  </si>
  <si>
    <r>
      <t>246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</si>
  <si>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_18_w</t>
  </si>
  <si>
    <t>_20_w</t>
  </si>
  <si>
    <t>_30_w</t>
  </si>
  <si>
    <t>_300_w</t>
  </si>
  <si>
    <t>_18_3_w</t>
  </si>
  <si>
    <t>_27_45_w</t>
  </si>
  <si>
    <t>_274_5_w</t>
  </si>
  <si>
    <t>_19_62_w</t>
  </si>
  <si>
    <t>_21_08_w</t>
  </si>
  <si>
    <t>_32_7_w</t>
  </si>
  <si>
    <t>_327_w</t>
  </si>
  <si>
    <t>_14_76_w</t>
  </si>
  <si>
    <t>_16_4_w</t>
  </si>
  <si>
    <t>_24_6_w</t>
  </si>
  <si>
    <t>_246_w</t>
  </si>
  <si>
    <t>400 V</t>
  </si>
  <si>
    <t>380 V</t>
  </si>
  <si>
    <t>_16_47_w</t>
  </si>
  <si>
    <r>
      <t xml:space="preserve">
DEVIflex</t>
    </r>
    <r>
      <rPr>
        <sz val="12"/>
        <color theme="1"/>
        <rFont val="Calibri"/>
        <family val="2"/>
        <charset val="204"/>
        <scheme val="minor"/>
      </rPr>
      <t xml:space="preserve"> 18T</t>
    </r>
  </si>
  <si>
    <r>
      <t>DEVIbasic</t>
    </r>
    <r>
      <rPr>
        <sz val="12"/>
        <color theme="1"/>
        <rFont val="Calibri"/>
        <family val="2"/>
        <charset val="204"/>
        <scheme val="minor"/>
      </rPr>
      <t xml:space="preserve"> 20S</t>
    </r>
  </si>
  <si>
    <r>
      <t>DEVIsafe</t>
    </r>
    <r>
      <rPr>
        <sz val="12"/>
        <color theme="1"/>
        <rFont val="Calibri"/>
        <family val="2"/>
        <charset val="204"/>
        <scheme val="minor"/>
      </rPr>
      <t xml:space="preserve"> 20T</t>
    </r>
  </si>
  <si>
    <r>
      <t>DEVIflex</t>
    </r>
    <r>
      <rPr>
        <sz val="12"/>
        <color theme="1"/>
        <rFont val="Calibri"/>
        <family val="2"/>
        <charset val="204"/>
        <scheme val="minor"/>
      </rPr>
      <t xml:space="preserve"> 20T</t>
    </r>
  </si>
  <si>
    <r>
      <t>DEVIsnow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</si>
  <si>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r>
      <t>DEVIasphalt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</si>
  <si>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r>
      <t>DEVIsnow</t>
    </r>
    <r>
      <rPr>
        <sz val="12"/>
        <color theme="1"/>
        <rFont val="Calibri"/>
        <family val="2"/>
        <charset val="204"/>
        <scheme val="minor"/>
      </rPr>
      <t xml:space="preserve"> 300</t>
    </r>
  </si>
  <si>
    <r>
      <t>DEVIasphalt</t>
    </r>
    <r>
      <rPr>
        <sz val="12"/>
        <color theme="1"/>
        <rFont val="Calibri"/>
        <family val="2"/>
        <charset val="204"/>
        <scheme val="minor"/>
      </rPr>
      <t xml:space="preserve"> 300</t>
    </r>
  </si>
  <si>
    <r>
      <t>W/(m</t>
    </r>
    <r>
      <rPr>
        <sz val="12"/>
        <color theme="1"/>
        <rFont val="Minion Pro"/>
        <family val="1"/>
      </rPr>
      <t>·</t>
    </r>
    <r>
      <rPr>
        <sz val="10.8"/>
        <color theme="1"/>
        <rFont val="Calibri"/>
        <family val="2"/>
      </rPr>
      <t>°C)</t>
    </r>
  </si>
  <si>
    <t>DEVIbasic 20S, 400V</t>
  </si>
  <si>
    <t>DEVIreg 330 (-10 ... +10°C)</t>
  </si>
  <si>
    <r>
      <t>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</si>
  <si>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+ 5</t>
  </si>
  <si>
    <t>+ 3</t>
  </si>
  <si>
    <t>DEVIbasic 20S</t>
  </si>
  <si>
    <t>DEVIsafe 20T</t>
  </si>
  <si>
    <t>DEVIsnow 20T</t>
  </si>
  <si>
    <t>DEVIsnow 30T</t>
  </si>
  <si>
    <t>DEVIreg 330 (+5 ... +45°C)</t>
  </si>
  <si>
    <t>DEVIreg 610</t>
  </si>
  <si>
    <t>2,5...5</t>
  </si>
  <si>
    <t>DEVIflex 18T</t>
  </si>
  <si>
    <t>ECfreeze 7,5T, 400V</t>
  </si>
  <si>
    <t>DEVIflex 6T, 230V</t>
  </si>
  <si>
    <t>DEVIbasic 10S, 230V</t>
  </si>
  <si>
    <t>DEVIflex 10T, 230V</t>
  </si>
  <si>
    <t>DEVIflex 18T, 230V</t>
  </si>
  <si>
    <t>Not available for this voltage</t>
  </si>
  <si>
    <t>Depozit frigorific. Sistem de prevenire a inghetului</t>
  </si>
  <si>
    <t>Calculul preliminar al pierderilor de căldură pentru depozitarea la rece</t>
  </si>
  <si>
    <t>Date informative (pentru mai multe informații, consultați manualul de aplicații)</t>
  </si>
  <si>
    <t>Celule de culoare gri - pentru introducerea datelor</t>
  </si>
  <si>
    <r>
      <t>Temperatura aerului din depozit, t</t>
    </r>
    <r>
      <rPr>
        <vertAlign val="subscript"/>
        <sz val="12"/>
        <color theme="1"/>
        <rFont val="Calibri"/>
        <family val="2"/>
        <charset val="204"/>
        <scheme val="minor"/>
      </rPr>
      <t>ext</t>
    </r>
  </si>
  <si>
    <t>Tensiune</t>
  </si>
  <si>
    <t>Grosimea izolației, h</t>
  </si>
  <si>
    <t>Conductivitatea termică a izolației, λ</t>
  </si>
  <si>
    <t>Factor de siguranta</t>
  </si>
  <si>
    <t>Zona incalzita</t>
  </si>
  <si>
    <t>recomandat 1,3</t>
  </si>
  <si>
    <t>Calculul sistemului</t>
  </si>
  <si>
    <t>Pierdere de căldură pentru temperatura aerului din camera rece. cu factor de siguranță</t>
  </si>
  <si>
    <t>Min. instalat ieșire specifică</t>
  </si>
  <si>
    <t>Alegeți distanța C-C (C-C) între cablurile principale</t>
  </si>
  <si>
    <t>Randament specific calculat</t>
  </si>
  <si>
    <t>Lungimea cablului calculat</t>
  </si>
  <si>
    <t>Randamentul total calculat</t>
  </si>
  <si>
    <t>DEVIfast, elemente de fixare</t>
  </si>
  <si>
    <t>Sistem de control</t>
  </si>
  <si>
    <t>Calcul pentru sistemul de rezerva</t>
  </si>
  <si>
    <t>Distanța centru și centru (C-C) între cablurile de rezervă</t>
  </si>
  <si>
    <t>Distanța centru-centru (C-C) între sistemele principale și cele de rezervă</t>
  </si>
  <si>
    <t>Setări pentru sistemul de control</t>
  </si>
  <si>
    <t>Setare temperatura termostat pentru sistemul principal</t>
  </si>
  <si>
    <t>Setare temperatura termostat pentru sistemul de rezervă</t>
  </si>
  <si>
    <t>Important de știut</t>
  </si>
  <si>
    <t>Notă 2. Sarcina max. rezistivă pentru DEVIreg 330 este de 16 A (3680 W).</t>
  </si>
  <si>
    <t>Notă 3. Dacă tensiunea este de 220 V, folosiți coeficientul 0,915 pentru ieșirea cablului.</t>
  </si>
  <si>
    <t>Notă 5. Instalarea termostatului este recomandată.</t>
  </si>
  <si>
    <t>Suport tehnic: EH@danfoss.com</t>
  </si>
  <si>
    <t>Depozite frigorifice. Protecție împotriva condensului pe podele. Protecția împotriva înghețului ușilor și porților.</t>
  </si>
  <si>
    <t>Lățimea ușii</t>
  </si>
  <si>
    <t>Lungimea ușii</t>
  </si>
  <si>
    <t>Calculul sistemului pentru podea</t>
  </si>
  <si>
    <t>Zona interioara incalzita, S1</t>
  </si>
  <si>
    <t>Zona exterioara incalzita, S2</t>
  </si>
  <si>
    <t>Lungimea calculată a cablului pentru S1</t>
  </si>
  <si>
    <t>Lungimea calculată a cablului pentru S2</t>
  </si>
  <si>
    <t>Calculul sistemului pentru cadrul ușii</t>
  </si>
  <si>
    <t>Alutape, elemente de fixare</t>
  </si>
  <si>
    <t>Linii de cablu în cadrul ușii</t>
  </si>
  <si>
    <t>Notă 1. Trebuie instalat cate un termostat pe cablu de încălzire.</t>
  </si>
  <si>
    <t>Protecție împotriva condensului pe podele.</t>
  </si>
  <si>
    <t>Protectia la inghet a usilor si a portilor</t>
  </si>
  <si>
    <t>Notă 4. Se recomandă utilizarea DEVIfast pentru fixarea cablurilor (pasul de fixare 2,5 cm).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</si>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</sst>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Myriad Pro"/>
      <family val="2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charset val="204"/>
      <scheme val="minor"/>
    </font>
    <font>
      <vertAlign val="subscript"/>
      <sz val="12"/>
      <color theme="1"/>
      <name val="Myriad Pro"/>
      <family val="2"/>
    </font>
    <font>
      <vertAlign val="superscript"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1"/>
      <name val="Minion Pro"/>
      <family val="1"/>
    </font>
    <font>
      <sz val="10.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5" xfId="0" applyFill="1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5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2" fillId="0" borderId="14" xfId="0" applyFont="1" applyFill="1" applyBorder="1" applyAlignment="1">
      <alignment vertical="center" wrapText="1"/>
    </xf>
    <xf numFmtId="0" fontId="4" fillId="0" borderId="14" xfId="0" applyFont="1" applyFill="1" applyBorder="1"/>
    <xf numFmtId="0" fontId="1" fillId="0" borderId="15" xfId="0" applyFont="1" applyFill="1" applyBorder="1"/>
    <xf numFmtId="0" fontId="1" fillId="0" borderId="9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" fillId="0" borderId="1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5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8" xfId="0" applyBorder="1" applyAlignment="1"/>
    <xf numFmtId="0" fontId="3" fillId="0" borderId="19" xfId="0" applyFon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1" xfId="0" applyBorder="1" applyAlignment="1"/>
    <xf numFmtId="0" fontId="3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0" borderId="23" xfId="0" applyBorder="1" applyAlignment="1"/>
    <xf numFmtId="0" fontId="3" fillId="0" borderId="24" xfId="0" applyFon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17" fillId="0" borderId="0" xfId="0" applyFont="1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/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/>
    <xf numFmtId="0" fontId="0" fillId="0" borderId="23" xfId="0" applyFill="1" applyBorder="1" applyAlignment="1"/>
    <xf numFmtId="0" fontId="0" fillId="0" borderId="17" xfId="0" applyFill="1" applyBorder="1" applyAlignment="1"/>
    <xf numFmtId="0" fontId="0" fillId="0" borderId="26" xfId="0" applyFill="1" applyBorder="1" applyAlignment="1"/>
    <xf numFmtId="0" fontId="0" fillId="0" borderId="16" xfId="0" applyFill="1" applyBorder="1" applyAlignment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1" xfId="0" applyFill="1" applyBorder="1"/>
    <xf numFmtId="0" fontId="0" fillId="0" borderId="23" xfId="0" applyBorder="1"/>
    <xf numFmtId="164" fontId="1" fillId="3" borderId="1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7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/>
    <xf numFmtId="0" fontId="22" fillId="0" borderId="0" xfId="0" applyFont="1"/>
    <xf numFmtId="0" fontId="22" fillId="0" borderId="0" xfId="0" applyFont="1" applyFill="1" applyBorder="1"/>
    <xf numFmtId="0" fontId="23" fillId="0" borderId="0" xfId="0" applyFont="1" applyFill="1" applyBorder="1"/>
    <xf numFmtId="0" fontId="7" fillId="0" borderId="30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20" fillId="0" borderId="31" xfId="0" applyFont="1" applyBorder="1" applyAlignment="1">
      <alignment horizontal="center" vertical="center"/>
    </xf>
    <xf numFmtId="0" fontId="1" fillId="0" borderId="32" xfId="0" applyFont="1" applyFill="1" applyBorder="1"/>
    <xf numFmtId="0" fontId="7" fillId="0" borderId="3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left" wrapText="1"/>
    </xf>
    <xf numFmtId="0" fontId="1" fillId="3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0" borderId="30" xfId="0" applyFont="1" applyFill="1" applyBorder="1"/>
    <xf numFmtId="0" fontId="7" fillId="0" borderId="32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164" fontId="9" fillId="4" borderId="39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vertical="center" wrapText="1"/>
    </xf>
    <xf numFmtId="0" fontId="1" fillId="3" borderId="32" xfId="0" applyFont="1" applyFill="1" applyBorder="1" applyAlignment="1">
      <alignment vertical="center" wrapText="1"/>
    </xf>
    <xf numFmtId="0" fontId="24" fillId="0" borderId="0" xfId="0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vertical="center" wrapText="1"/>
    </xf>
    <xf numFmtId="2" fontId="22" fillId="0" borderId="0" xfId="0" applyNumberFormat="1" applyFont="1" applyFill="1" applyBorder="1"/>
    <xf numFmtId="0" fontId="2" fillId="3" borderId="3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3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1" fontId="25" fillId="0" borderId="1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2" fillId="4" borderId="0" xfId="0" applyFont="1" applyFill="1" applyBorder="1"/>
    <xf numFmtId="0" fontId="9" fillId="5" borderId="33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2" fillId="3" borderId="30" xfId="0" applyFont="1" applyFill="1" applyBorder="1" applyAlignment="1">
      <alignment horizontal="left" vertical="center" wrapText="1"/>
    </xf>
    <xf numFmtId="2" fontId="0" fillId="0" borderId="26" xfId="0" applyNumberFormat="1" applyFill="1" applyBorder="1" applyAlignment="1">
      <alignment horizontal="center"/>
    </xf>
    <xf numFmtId="0" fontId="9" fillId="5" borderId="30" xfId="0" applyFont="1" applyFill="1" applyBorder="1" applyAlignment="1" applyProtection="1">
      <alignment horizontal="left" vertic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2" fontId="0" fillId="0" borderId="0" xfId="0" applyNumberFormat="1"/>
    <xf numFmtId="0" fontId="1" fillId="0" borderId="1" xfId="0" applyFont="1" applyBorder="1" applyAlignment="1"/>
    <xf numFmtId="2" fontId="26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 applyProtection="1">
      <alignment horizontal="center" vertical="center" wrapText="1"/>
      <protection locked="0"/>
    </xf>
    <xf numFmtId="0" fontId="7" fillId="4" borderId="38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5" borderId="37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1</xdr:col>
      <xdr:colOff>1521883</xdr:colOff>
      <xdr:row>1</xdr:row>
      <xdr:rowOff>528206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6"/>
          <a:ext cx="1685925" cy="652030"/>
        </a:xfrm>
        <a:prstGeom prst="rect">
          <a:avLst/>
        </a:prstGeom>
      </xdr:spPr>
    </xdr:pic>
    <xdr:clientData/>
  </xdr:twoCellAnchor>
  <xdr:twoCellAnchor editAs="oneCell">
    <xdr:from>
      <xdr:col>10</xdr:col>
      <xdr:colOff>442384</xdr:colOff>
      <xdr:row>0</xdr:row>
      <xdr:rowOff>123897</xdr:rowOff>
    </xdr:from>
    <xdr:to>
      <xdr:col>11</xdr:col>
      <xdr:colOff>1373012</xdr:colOff>
      <xdr:row>1</xdr:row>
      <xdr:rowOff>447674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6884" y="123897"/>
          <a:ext cx="1900767" cy="514277"/>
        </a:xfrm>
        <a:prstGeom prst="rect">
          <a:avLst/>
        </a:prstGeom>
      </xdr:spPr>
    </xdr:pic>
    <xdr:clientData/>
  </xdr:twoCellAnchor>
  <xdr:twoCellAnchor editAs="oneCell">
    <xdr:from>
      <xdr:col>6</xdr:col>
      <xdr:colOff>43908</xdr:colOff>
      <xdr:row>5</xdr:row>
      <xdr:rowOff>21167</xdr:rowOff>
    </xdr:from>
    <xdr:to>
      <xdr:col>11</xdr:col>
      <xdr:colOff>1002215</xdr:colOff>
      <xdr:row>18</xdr:row>
      <xdr:rowOff>114299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796B78F-D19E-488C-B886-FABD61FC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44558" y="1907117"/>
          <a:ext cx="5460457" cy="359198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714964</xdr:colOff>
      <xdr:row>20</xdr:row>
      <xdr:rowOff>10585</xdr:rowOff>
    </xdr:from>
    <xdr:to>
      <xdr:col>11</xdr:col>
      <xdr:colOff>349136</xdr:colOff>
      <xdr:row>29</xdr:row>
      <xdr:rowOff>319620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CF1EE16-8137-4BA0-BDE0-641A371E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15614" y="6189135"/>
          <a:ext cx="4136322" cy="251883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101168</xdr:colOff>
      <xdr:row>31</xdr:row>
      <xdr:rowOff>31752</xdr:rowOff>
    </xdr:from>
    <xdr:to>
      <xdr:col>10</xdr:col>
      <xdr:colOff>1032304</xdr:colOff>
      <xdr:row>42</xdr:row>
      <xdr:rowOff>153462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971703F-70F9-45ED-9EAB-3C536BE9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54318" y="8858252"/>
          <a:ext cx="3401286" cy="3169710"/>
        </a:xfrm>
        <a:prstGeom prst="rect">
          <a:avLst/>
        </a:prstGeom>
        <a:noFill/>
        <a:ln w="15875"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137583</xdr:colOff>
      <xdr:row>0</xdr:row>
      <xdr:rowOff>63500</xdr:rowOff>
    </xdr:from>
    <xdr:to>
      <xdr:col>1</xdr:col>
      <xdr:colOff>1583266</xdr:colOff>
      <xdr:row>1</xdr:row>
      <xdr:rowOff>525030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66692CF-FEC0-4F9F-80D6-DDAD40454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63500"/>
          <a:ext cx="1689100" cy="652030"/>
        </a:xfrm>
        <a:prstGeom prst="rect">
          <a:avLst/>
        </a:prstGeom>
      </xdr:spPr>
    </xdr:pic>
    <xdr:clientData/>
  </xdr:twoCellAnchor>
  <xdr:twoCellAnchor editAs="oneCell">
    <xdr:from>
      <xdr:col>10</xdr:col>
      <xdr:colOff>747183</xdr:colOff>
      <xdr:row>0</xdr:row>
      <xdr:rowOff>120721</xdr:rowOff>
    </xdr:from>
    <xdr:to>
      <xdr:col>12</xdr:col>
      <xdr:colOff>499533</xdr:colOff>
      <xdr:row>1</xdr:row>
      <xdr:rowOff>444498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0A47D29-3CC3-416E-9A07-249EEF6F6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1683" y="120721"/>
          <a:ext cx="1900767" cy="514277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762001</xdr:colOff>
      <xdr:row>6</xdr:row>
      <xdr:rowOff>42333</xdr:rowOff>
    </xdr:from>
    <xdr:to>
      <xdr:col>11</xdr:col>
      <xdr:colOff>253999</xdr:colOff>
      <xdr:row>20</xdr:row>
      <xdr:rowOff>83961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1709785-EA59-4698-A0D5-3A9F3E7C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134" y="2167466"/>
          <a:ext cx="3911598" cy="4224867"/>
        </a:xfrm>
        <a:prstGeom prst="rect">
          <a:avLst/>
        </a:prstGeom>
        <a:noFill/>
        <a:ln w="15875"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730250</xdr:colOff>
      <xdr:row>27</xdr:row>
      <xdr:rowOff>42335</xdr:rowOff>
    </xdr:from>
    <xdr:to>
      <xdr:col>11</xdr:col>
      <xdr:colOff>268231</xdr:colOff>
      <xdr:row>42</xdr:row>
      <xdr:rowOff>201788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292D9EE5-3465-4D2E-947A-D57EE8F2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291918"/>
          <a:ext cx="3834814" cy="4794250"/>
        </a:xfrm>
        <a:prstGeom prst="rect">
          <a:avLst/>
        </a:prstGeom>
        <a:noFill/>
        <a:ln w="15875"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tabSelected="1" zoomScaleNormal="100" workbookViewId="0">
      <selection activeCell="E7" sqref="E7"/>
    </sheetView>
  </sheetViews>
  <sheetFormatPr defaultColWidth="9.08984375" defaultRowHeight="14.5" x14ac:dyDescent="0.35"/>
  <cols>
    <col min="1" max="1" width="3.54296875" style="1" customWidth="1"/>
    <col min="2" max="2" width="31" style="1" customWidth="1"/>
    <col min="3" max="3" width="12" style="1" customWidth="1"/>
    <col min="4" max="4" width="17.453125" style="1" customWidth="1"/>
    <col min="5" max="5" width="5.453125" style="1" customWidth="1"/>
    <col min="6" max="6" width="5" style="1" customWidth="1"/>
    <col min="7" max="7" width="13.6328125" style="1" customWidth="1"/>
    <col min="8" max="8" width="14.453125" style="1" customWidth="1"/>
    <col min="9" max="9" width="7.453125" style="1" customWidth="1"/>
    <col min="10" max="10" width="13.453125" style="1" bestFit="1" customWidth="1"/>
    <col min="11" max="11" width="15.453125" style="1" customWidth="1"/>
    <col min="12" max="12" width="23.81640625" style="1" customWidth="1"/>
    <col min="13" max="13" width="5.54296875" style="1" customWidth="1"/>
    <col min="14" max="14" width="15.6328125" style="1" customWidth="1"/>
    <col min="15" max="15" width="11.453125" style="1" bestFit="1" customWidth="1"/>
    <col min="16" max="16" width="9.36328125" style="1" customWidth="1"/>
    <col min="17" max="16384" width="9.08984375" style="1"/>
  </cols>
  <sheetData>
    <row r="1" spans="1:22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N1"/>
    </row>
    <row r="2" spans="1:22" ht="44.25" customHeight="1" thickBot="1" x14ac:dyDescent="0.4">
      <c r="A2" s="174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75"/>
      <c r="N2" s="99"/>
      <c r="O2" s="100"/>
      <c r="P2" s="100"/>
      <c r="Q2" s="100"/>
      <c r="R2" s="100"/>
      <c r="S2" s="100"/>
      <c r="T2" s="100"/>
      <c r="U2" s="100"/>
      <c r="V2" s="100"/>
    </row>
    <row r="3" spans="1:22" ht="33" customHeight="1" thickBot="1" x14ac:dyDescent="0.4">
      <c r="A3" s="188" t="s">
        <v>98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90"/>
      <c r="N3" s="99"/>
      <c r="O3" s="100"/>
      <c r="P3" s="100"/>
      <c r="Q3" s="100"/>
      <c r="R3" s="100"/>
      <c r="S3" s="100"/>
      <c r="T3" s="100"/>
      <c r="U3" s="100"/>
      <c r="V3" s="100"/>
    </row>
    <row r="4" spans="1:22" ht="41.25" customHeight="1" thickBot="1" x14ac:dyDescent="0.4">
      <c r="A4" s="176" t="s">
        <v>99</v>
      </c>
      <c r="B4" s="177"/>
      <c r="C4" s="177"/>
      <c r="D4" s="177"/>
      <c r="E4" s="178"/>
      <c r="F4" s="179" t="s">
        <v>100</v>
      </c>
      <c r="G4" s="180"/>
      <c r="H4" s="180"/>
      <c r="I4" s="180"/>
      <c r="J4" s="180"/>
      <c r="K4" s="180"/>
      <c r="L4" s="180"/>
      <c r="M4" s="181"/>
      <c r="N4" s="99"/>
      <c r="O4" s="100"/>
      <c r="P4" s="100"/>
      <c r="Q4" s="100"/>
      <c r="R4" s="100"/>
      <c r="S4" s="100"/>
      <c r="T4" s="100"/>
      <c r="U4" s="100"/>
      <c r="V4" s="100"/>
    </row>
    <row r="5" spans="1:22" ht="16" thickBot="1" x14ac:dyDescent="0.4">
      <c r="A5" s="9"/>
      <c r="B5" s="10"/>
      <c r="C5" s="10"/>
      <c r="D5" s="11"/>
      <c r="E5" s="75"/>
      <c r="F5" s="9"/>
      <c r="G5" s="16"/>
      <c r="H5" s="16"/>
      <c r="I5" s="16"/>
      <c r="J5" s="16"/>
      <c r="K5" s="16"/>
      <c r="L5" s="16"/>
      <c r="M5" s="17"/>
      <c r="N5" s="100"/>
      <c r="O5" s="100"/>
      <c r="P5" s="100"/>
      <c r="Q5" s="100"/>
      <c r="R5" s="100"/>
      <c r="S5" s="100"/>
      <c r="T5" s="100"/>
      <c r="U5" s="100"/>
      <c r="V5" s="100"/>
    </row>
    <row r="6" spans="1:22" ht="16" customHeight="1" thickBot="1" x14ac:dyDescent="0.4">
      <c r="A6" s="12"/>
      <c r="B6" s="185" t="s">
        <v>101</v>
      </c>
      <c r="C6" s="186"/>
      <c r="D6" s="187"/>
      <c r="E6" s="76"/>
      <c r="F6" s="12"/>
      <c r="M6" s="13"/>
      <c r="N6" s="100"/>
      <c r="O6" s="100"/>
      <c r="P6" s="100"/>
      <c r="Q6" s="100"/>
      <c r="R6" s="100"/>
      <c r="S6" s="100"/>
      <c r="T6" s="100"/>
      <c r="U6" s="100"/>
      <c r="V6" s="100"/>
    </row>
    <row r="7" spans="1:22" ht="16" thickBot="1" x14ac:dyDescent="0.4">
      <c r="A7" s="12"/>
      <c r="B7" s="2"/>
      <c r="C7" s="2"/>
      <c r="D7" s="3"/>
      <c r="E7" s="3"/>
      <c r="F7" s="12"/>
      <c r="M7" s="13"/>
      <c r="N7" s="100"/>
      <c r="O7" s="100"/>
      <c r="P7" s="100"/>
      <c r="Q7" s="100"/>
      <c r="R7" s="100"/>
      <c r="S7" s="100"/>
      <c r="T7" s="100"/>
      <c r="U7" s="100"/>
      <c r="V7" s="100"/>
    </row>
    <row r="8" spans="1:22" ht="17.25" customHeight="1" x14ac:dyDescent="0.35">
      <c r="A8" s="12"/>
      <c r="B8" s="228" t="s">
        <v>144</v>
      </c>
      <c r="C8" s="229"/>
      <c r="D8" s="230"/>
      <c r="E8" s="2"/>
      <c r="F8" s="18"/>
      <c r="M8" s="13"/>
      <c r="N8" s="100"/>
      <c r="O8" s="100"/>
      <c r="P8" s="100"/>
      <c r="Q8" s="100"/>
      <c r="R8" s="100"/>
      <c r="S8" s="100"/>
      <c r="T8" s="100"/>
      <c r="U8" s="100"/>
      <c r="V8" s="100"/>
    </row>
    <row r="9" spans="1:22" ht="33" x14ac:dyDescent="0.35">
      <c r="A9" s="12"/>
      <c r="B9" s="102" t="s">
        <v>102</v>
      </c>
      <c r="C9" s="96">
        <v>-30</v>
      </c>
      <c r="D9" s="103" t="s">
        <v>4</v>
      </c>
      <c r="E9" s="6"/>
      <c r="F9" s="19"/>
      <c r="M9" s="13"/>
      <c r="N9" s="100"/>
      <c r="O9" s="100"/>
      <c r="P9" s="100"/>
      <c r="Q9" s="100"/>
      <c r="R9" s="100"/>
      <c r="S9" s="100"/>
      <c r="T9" s="100"/>
      <c r="U9" s="100"/>
      <c r="V9" s="100"/>
    </row>
    <row r="10" spans="1:22" ht="15.5" x14ac:dyDescent="0.35">
      <c r="A10" s="12"/>
      <c r="B10" s="102" t="s">
        <v>103</v>
      </c>
      <c r="C10" s="96">
        <v>230</v>
      </c>
      <c r="D10" s="103" t="s">
        <v>31</v>
      </c>
      <c r="E10" s="77"/>
      <c r="F10" s="19"/>
      <c r="M10" s="13"/>
      <c r="N10" s="100"/>
      <c r="O10" s="100"/>
      <c r="P10" s="100"/>
      <c r="Q10" s="100"/>
      <c r="R10" s="100"/>
      <c r="S10" s="100"/>
      <c r="T10" s="100"/>
      <c r="U10" s="100"/>
      <c r="V10" s="100"/>
    </row>
    <row r="11" spans="1:22" ht="15.5" x14ac:dyDescent="0.35">
      <c r="A11" s="12"/>
      <c r="B11" s="102" t="s">
        <v>104</v>
      </c>
      <c r="C11" s="96">
        <v>20</v>
      </c>
      <c r="D11" s="103" t="s">
        <v>0</v>
      </c>
      <c r="E11" s="77"/>
      <c r="F11" s="19"/>
      <c r="M11" s="13"/>
      <c r="N11" s="100"/>
      <c r="O11" s="100"/>
      <c r="P11" s="100"/>
      <c r="Q11" s="100"/>
      <c r="R11" s="100"/>
      <c r="S11" s="100"/>
      <c r="T11" s="100"/>
      <c r="U11" s="100"/>
      <c r="V11" s="100"/>
    </row>
    <row r="12" spans="1:22" ht="31" x14ac:dyDescent="0.35">
      <c r="A12" s="12"/>
      <c r="B12" s="102" t="s">
        <v>105</v>
      </c>
      <c r="C12" s="96">
        <v>3.5000000000000003E-2</v>
      </c>
      <c r="D12" s="103" t="s">
        <v>78</v>
      </c>
      <c r="E12" s="77"/>
      <c r="F12" s="19"/>
      <c r="M12" s="13"/>
      <c r="N12" s="100"/>
      <c r="O12" s="100"/>
      <c r="P12" s="100"/>
      <c r="Q12" s="100"/>
      <c r="R12" s="100"/>
      <c r="S12" s="100"/>
      <c r="T12" s="100"/>
      <c r="U12" s="100"/>
      <c r="V12" s="100"/>
    </row>
    <row r="13" spans="1:22" ht="15.5" x14ac:dyDescent="0.35">
      <c r="A13" s="12"/>
      <c r="B13" s="104" t="s">
        <v>106</v>
      </c>
      <c r="C13" s="96">
        <v>1.3</v>
      </c>
      <c r="D13" s="105" t="s">
        <v>108</v>
      </c>
      <c r="E13" s="77"/>
      <c r="F13" s="19"/>
      <c r="M13" s="13"/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22" ht="18" thickBot="1" x14ac:dyDescent="0.4">
      <c r="A14" s="12"/>
      <c r="B14" s="106" t="s">
        <v>107</v>
      </c>
      <c r="C14" s="141">
        <v>1000</v>
      </c>
      <c r="D14" s="107" t="s">
        <v>40</v>
      </c>
      <c r="E14" s="6"/>
      <c r="F14" s="19"/>
      <c r="G14" s="6"/>
      <c r="M14" s="13"/>
      <c r="N14" s="100"/>
      <c r="O14" s="98"/>
      <c r="P14" s="74"/>
      <c r="Q14" s="74"/>
      <c r="R14" s="74"/>
      <c r="S14" s="100"/>
      <c r="T14" s="100"/>
      <c r="U14" s="100"/>
      <c r="V14" s="100"/>
    </row>
    <row r="15" spans="1:22" ht="15.75" customHeight="1" thickBot="1" x14ac:dyDescent="0.4">
      <c r="A15" s="12"/>
      <c r="D15" s="6"/>
      <c r="E15" s="6"/>
      <c r="F15" s="19"/>
      <c r="G15" s="6"/>
      <c r="M15" s="13"/>
      <c r="N15" s="100"/>
      <c r="O15" s="98"/>
      <c r="P15" s="74"/>
      <c r="Q15" s="74"/>
      <c r="R15" s="74"/>
      <c r="S15" s="100"/>
      <c r="T15" s="100"/>
      <c r="U15" s="100"/>
      <c r="V15" s="100"/>
    </row>
    <row r="16" spans="1:22" ht="18.5" x14ac:dyDescent="0.35">
      <c r="A16" s="12"/>
      <c r="B16" s="192" t="s">
        <v>109</v>
      </c>
      <c r="C16" s="193"/>
      <c r="D16" s="194"/>
      <c r="E16" s="78"/>
      <c r="F16" s="12"/>
      <c r="M16" s="13"/>
      <c r="N16" s="100"/>
      <c r="O16" s="98"/>
      <c r="Q16" s="74"/>
      <c r="R16" s="74"/>
      <c r="S16" s="100"/>
      <c r="T16" s="100"/>
      <c r="U16" s="100"/>
      <c r="V16" s="100"/>
    </row>
    <row r="17" spans="1:24" ht="46.5" x14ac:dyDescent="0.35">
      <c r="A17" s="12"/>
      <c r="B17" s="108" t="s">
        <v>110</v>
      </c>
      <c r="C17" s="93">
        <f>((5-C9)*C12/(C11*0.01))*1.3</f>
        <v>7.9625000000000004</v>
      </c>
      <c r="D17" s="109" t="s">
        <v>16</v>
      </c>
      <c r="F17" s="12"/>
      <c r="M17" s="13"/>
      <c r="N17" s="100"/>
      <c r="O17" s="125"/>
      <c r="P17" s="100"/>
      <c r="Q17" s="100"/>
      <c r="R17" s="100"/>
      <c r="S17" s="100"/>
      <c r="T17" s="100"/>
      <c r="U17" s="100"/>
      <c r="V17" s="100"/>
      <c r="W17" s="100"/>
      <c r="X17" s="100"/>
    </row>
    <row r="18" spans="1:24" ht="17.5" x14ac:dyDescent="0.35">
      <c r="A18" s="12"/>
      <c r="B18" s="145" t="s">
        <v>111</v>
      </c>
      <c r="C18" s="138">
        <v>15</v>
      </c>
      <c r="D18" s="131" t="s">
        <v>81</v>
      </c>
      <c r="F18" s="12"/>
      <c r="M18" s="13"/>
      <c r="N18" s="100"/>
      <c r="O18" s="125"/>
      <c r="P18" s="100"/>
      <c r="Q18" s="100"/>
      <c r="R18" s="100"/>
      <c r="S18" s="100"/>
      <c r="T18" s="100"/>
      <c r="U18" s="100"/>
      <c r="V18" s="100"/>
      <c r="W18" s="100"/>
      <c r="X18" s="100"/>
    </row>
    <row r="19" spans="1:24" ht="15.5" x14ac:dyDescent="0.35">
      <c r="A19" s="12"/>
      <c r="B19" s="195"/>
      <c r="C19" s="196"/>
      <c r="D19" s="197"/>
      <c r="F19" s="12"/>
      <c r="M19" s="13"/>
      <c r="N19" s="100"/>
      <c r="O19" s="125"/>
      <c r="P19" s="100"/>
      <c r="Q19" s="100"/>
      <c r="R19" s="100"/>
      <c r="S19" s="100"/>
      <c r="T19" s="100"/>
      <c r="U19" s="100"/>
      <c r="V19" s="100"/>
      <c r="W19" s="100"/>
      <c r="X19" s="100"/>
    </row>
    <row r="20" spans="1:24" ht="47.25" customHeight="1" x14ac:dyDescent="0.35">
      <c r="A20" s="12"/>
      <c r="B20" s="147" t="s">
        <v>96</v>
      </c>
      <c r="C20" s="157">
        <f>IF(C10=230,VLOOKUP(B20,Sheet2!B42:H47,2,0),IF(C10=220,VLOOKUP(B20,Sheet2!B42:H47,3,0),IF(C10=240,VLOOKUP(B20,Sheet2!B42:H47,4,0),IF(C10=400,VLOOKUP(B20,Sheet2!B42:H47,5,0),IF(C10=380,VLOOKUP(B20,Sheet2!B42:H47,6,0),IF(C10=460,VLOOKUP(B20,Sheet2!B42:H47,7,0)))))))</f>
        <v>18</v>
      </c>
      <c r="D20" s="110" t="s">
        <v>29</v>
      </c>
      <c r="F20" s="12"/>
      <c r="M20" s="13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4" ht="31" x14ac:dyDescent="0.35">
      <c r="A21" s="12"/>
      <c r="B21" s="117" t="s">
        <v>112</v>
      </c>
      <c r="C21" s="148">
        <v>50</v>
      </c>
      <c r="D21" s="111" t="s">
        <v>0</v>
      </c>
      <c r="F21" s="12"/>
      <c r="M21" s="13"/>
      <c r="N21" s="100"/>
      <c r="O21" s="100"/>
      <c r="S21" s="100"/>
      <c r="T21" s="100"/>
      <c r="U21" s="100"/>
      <c r="V21" s="100"/>
      <c r="W21" s="100"/>
      <c r="X21" s="100"/>
    </row>
    <row r="22" spans="1:24" ht="30.5" customHeight="1" x14ac:dyDescent="0.35">
      <c r="A22" s="12"/>
      <c r="B22" s="102" t="s">
        <v>113</v>
      </c>
      <c r="C22" s="133">
        <f>IF(Sheet2!M23&lt;15,"Choose smaller C-C distance",Sheet2!M23)</f>
        <v>36</v>
      </c>
      <c r="D22" s="109" t="s">
        <v>16</v>
      </c>
      <c r="F22" s="12"/>
      <c r="M22" s="13"/>
      <c r="N22" s="100"/>
      <c r="S22" s="100"/>
      <c r="T22" s="100"/>
      <c r="U22" s="100"/>
      <c r="V22" s="100"/>
      <c r="W22" s="100"/>
      <c r="X22" s="100"/>
    </row>
    <row r="23" spans="1:24" ht="15.5" x14ac:dyDescent="0.35">
      <c r="A23" s="12"/>
      <c r="B23" s="112" t="s">
        <v>114</v>
      </c>
      <c r="C23" s="128">
        <f>C14*100/C21</f>
        <v>2000</v>
      </c>
      <c r="D23" s="111" t="s">
        <v>33</v>
      </c>
      <c r="F23" s="12"/>
      <c r="M23" s="13"/>
      <c r="N23" s="100"/>
      <c r="O23" s="100"/>
      <c r="S23" s="100"/>
      <c r="T23" s="100"/>
      <c r="U23" s="100"/>
      <c r="V23" s="100"/>
      <c r="W23" s="100"/>
      <c r="X23" s="100"/>
    </row>
    <row r="24" spans="1:24" ht="15.5" x14ac:dyDescent="0.35">
      <c r="A24" s="12"/>
      <c r="B24" s="112" t="s">
        <v>115</v>
      </c>
      <c r="C24" s="128">
        <f>C23*C20</f>
        <v>36000</v>
      </c>
      <c r="D24" s="111" t="s">
        <v>34</v>
      </c>
      <c r="F24" s="12"/>
      <c r="M24" s="13"/>
      <c r="N24" s="100"/>
      <c r="O24" s="100"/>
      <c r="S24" s="100"/>
      <c r="T24" s="100"/>
      <c r="U24" s="100"/>
      <c r="V24" s="100"/>
      <c r="W24" s="100"/>
      <c r="X24" s="100"/>
    </row>
    <row r="25" spans="1:24" ht="15.5" x14ac:dyDescent="0.35">
      <c r="A25" s="12"/>
      <c r="B25" s="112" t="s">
        <v>116</v>
      </c>
      <c r="C25" s="128">
        <f>C14*2</f>
        <v>2000</v>
      </c>
      <c r="D25" s="111" t="s">
        <v>33</v>
      </c>
      <c r="F25" s="12"/>
      <c r="M25" s="13"/>
      <c r="N25" s="100"/>
      <c r="O25" s="100"/>
      <c r="S25" s="100"/>
      <c r="T25" s="100"/>
      <c r="U25" s="100"/>
      <c r="V25" s="100"/>
      <c r="W25" s="100"/>
      <c r="X25" s="100"/>
    </row>
    <row r="26" spans="1:24" ht="16" thickBot="1" x14ac:dyDescent="0.4">
      <c r="A26" s="12"/>
      <c r="B26" s="113" t="s">
        <v>117</v>
      </c>
      <c r="C26" s="201" t="s">
        <v>80</v>
      </c>
      <c r="D26" s="202"/>
      <c r="F26" s="12"/>
      <c r="M26" s="13"/>
      <c r="N26" s="100"/>
      <c r="O26" s="100"/>
      <c r="S26" s="100"/>
      <c r="T26" s="100"/>
      <c r="U26" s="100"/>
      <c r="V26" s="100"/>
      <c r="W26" s="100"/>
      <c r="X26" s="100"/>
    </row>
    <row r="27" spans="1:24" ht="16" thickBot="1" x14ac:dyDescent="0.4">
      <c r="A27" s="12"/>
      <c r="B27" s="136"/>
      <c r="C27" s="115"/>
      <c r="D27" s="137"/>
      <c r="F27" s="25"/>
      <c r="G27" s="24"/>
      <c r="H27" s="24"/>
      <c r="I27" s="24"/>
      <c r="J27" s="24"/>
      <c r="K27" s="24"/>
      <c r="L27" s="24"/>
      <c r="M27" s="26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ht="18.5" x14ac:dyDescent="0.45">
      <c r="A28" s="12"/>
      <c r="B28" s="203" t="s">
        <v>118</v>
      </c>
      <c r="C28" s="204"/>
      <c r="D28" s="205"/>
      <c r="F28" s="25"/>
      <c r="G28" s="24"/>
      <c r="H28" s="24"/>
      <c r="I28" s="24"/>
      <c r="J28" s="24"/>
      <c r="K28" s="24"/>
      <c r="L28" s="24"/>
      <c r="M28" s="26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ht="15.5" x14ac:dyDescent="0.35">
      <c r="A29" s="12"/>
      <c r="B29" s="129" t="str">
        <f>B20</f>
        <v>DEVIflex 18T, 230V</v>
      </c>
      <c r="C29" s="128">
        <f>C20</f>
        <v>18</v>
      </c>
      <c r="D29" s="110" t="s">
        <v>29</v>
      </c>
      <c r="F29" s="25"/>
      <c r="G29" s="24"/>
      <c r="H29" s="24"/>
      <c r="I29" s="24"/>
      <c r="J29" s="24"/>
      <c r="K29" s="24"/>
      <c r="L29" s="24"/>
      <c r="M29" s="26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ht="32.25" customHeight="1" x14ac:dyDescent="0.35">
      <c r="A30" s="12"/>
      <c r="B30" s="117" t="s">
        <v>119</v>
      </c>
      <c r="C30" s="132">
        <f>C21</f>
        <v>50</v>
      </c>
      <c r="D30" s="111" t="s">
        <v>0</v>
      </c>
      <c r="F30" s="25"/>
      <c r="G30" s="24"/>
      <c r="H30" s="24"/>
      <c r="I30" s="24"/>
      <c r="J30" s="24"/>
      <c r="K30" s="24"/>
      <c r="L30" s="24"/>
      <c r="M30" s="26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ht="15.5" x14ac:dyDescent="0.35">
      <c r="A31" s="12"/>
      <c r="B31" s="112" t="s">
        <v>114</v>
      </c>
      <c r="C31" s="128">
        <f>C23</f>
        <v>2000</v>
      </c>
      <c r="D31" s="111" t="s">
        <v>33</v>
      </c>
      <c r="F31" s="25"/>
      <c r="G31" s="24"/>
      <c r="H31" s="24"/>
      <c r="I31" s="24"/>
      <c r="J31" s="24"/>
      <c r="K31" s="24"/>
      <c r="L31" s="24"/>
      <c r="M31" s="26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ht="15.5" x14ac:dyDescent="0.35">
      <c r="A32" s="12"/>
      <c r="B32" s="112" t="s">
        <v>115</v>
      </c>
      <c r="C32" s="128">
        <f>C24</f>
        <v>36000</v>
      </c>
      <c r="D32" s="111" t="s">
        <v>34</v>
      </c>
      <c r="F32" s="25"/>
      <c r="G32" s="24"/>
      <c r="H32" s="24"/>
      <c r="I32" s="24"/>
      <c r="J32" s="24"/>
      <c r="K32" s="24"/>
      <c r="L32" s="24"/>
      <c r="M32" s="26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ht="15.5" x14ac:dyDescent="0.35">
      <c r="A33" s="12"/>
      <c r="B33" s="117" t="s">
        <v>117</v>
      </c>
      <c r="C33" s="206" t="s">
        <v>80</v>
      </c>
      <c r="D33" s="207"/>
      <c r="F33" s="25"/>
      <c r="G33" s="24"/>
      <c r="H33" s="24"/>
      <c r="I33" s="24"/>
      <c r="J33" s="24"/>
      <c r="K33" s="24"/>
      <c r="L33" s="24"/>
      <c r="M33" s="26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ht="15.5" x14ac:dyDescent="0.35">
      <c r="A34" s="12"/>
      <c r="B34" s="118"/>
      <c r="C34" s="91"/>
      <c r="D34" s="119"/>
      <c r="F34" s="25"/>
      <c r="G34" s="24"/>
      <c r="H34" s="24"/>
      <c r="I34" s="24"/>
      <c r="J34" s="24"/>
      <c r="K34" s="24"/>
      <c r="L34" s="24"/>
      <c r="M34" s="26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1:24" ht="47" thickBot="1" x14ac:dyDescent="0.4">
      <c r="A35" s="12"/>
      <c r="B35" s="120" t="s">
        <v>120</v>
      </c>
      <c r="C35" s="121" t="s">
        <v>90</v>
      </c>
      <c r="D35" s="122" t="s">
        <v>0</v>
      </c>
      <c r="F35" s="25"/>
      <c r="G35" s="24"/>
      <c r="H35" s="24"/>
      <c r="I35" s="24"/>
      <c r="J35" s="24"/>
      <c r="K35" s="24"/>
      <c r="L35" s="24"/>
      <c r="M35" s="26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ht="16" thickBot="1" x14ac:dyDescent="0.4">
      <c r="A36" s="12"/>
      <c r="B36" s="114"/>
      <c r="C36" s="115"/>
      <c r="D36" s="116"/>
      <c r="F36" s="25"/>
      <c r="G36" s="24"/>
      <c r="H36" s="24"/>
      <c r="I36" s="24"/>
      <c r="J36" s="24"/>
      <c r="K36" s="24"/>
      <c r="L36" s="24"/>
      <c r="M36" s="26"/>
    </row>
    <row r="37" spans="1:24" ht="18.5" x14ac:dyDescent="0.35">
      <c r="A37" s="12"/>
      <c r="B37" s="198" t="s">
        <v>121</v>
      </c>
      <c r="C37" s="199"/>
      <c r="D37" s="200"/>
      <c r="F37" s="25"/>
      <c r="G37" s="24"/>
      <c r="H37" s="24"/>
      <c r="I37" s="24"/>
      <c r="J37" s="24"/>
      <c r="K37" s="24"/>
      <c r="L37" s="24"/>
      <c r="M37" s="26"/>
    </row>
    <row r="38" spans="1:24" ht="31" x14ac:dyDescent="0.35">
      <c r="A38" s="12"/>
      <c r="B38" s="123" t="s">
        <v>122</v>
      </c>
      <c r="C38" s="134" t="s">
        <v>82</v>
      </c>
      <c r="D38" s="109" t="s">
        <v>4</v>
      </c>
      <c r="F38" s="25"/>
      <c r="G38" s="24"/>
      <c r="H38" s="24"/>
      <c r="I38" s="24"/>
      <c r="J38" s="24"/>
      <c r="K38" s="24"/>
      <c r="L38" s="24"/>
      <c r="M38" s="26"/>
    </row>
    <row r="39" spans="1:24" ht="31.5" thickBot="1" x14ac:dyDescent="0.4">
      <c r="A39" s="12"/>
      <c r="B39" s="124" t="s">
        <v>123</v>
      </c>
      <c r="C39" s="135" t="s">
        <v>83</v>
      </c>
      <c r="D39" s="122" t="s">
        <v>4</v>
      </c>
      <c r="F39" s="25"/>
      <c r="G39" s="24"/>
      <c r="H39" s="24"/>
      <c r="I39" s="24"/>
      <c r="J39" s="24"/>
      <c r="K39" s="24"/>
      <c r="L39" s="24"/>
      <c r="M39" s="26"/>
    </row>
    <row r="40" spans="1:24" ht="15.75" customHeight="1" x14ac:dyDescent="0.35">
      <c r="A40" s="12"/>
      <c r="F40" s="25"/>
      <c r="G40" s="24"/>
      <c r="H40" s="24"/>
      <c r="I40" s="24"/>
      <c r="J40" s="24"/>
      <c r="K40" s="24"/>
      <c r="L40" s="24"/>
      <c r="M40" s="26"/>
    </row>
    <row r="41" spans="1:24" ht="18.5" x14ac:dyDescent="0.35">
      <c r="A41" s="12"/>
      <c r="B41" s="191" t="s">
        <v>124</v>
      </c>
      <c r="C41" s="191"/>
      <c r="D41" s="191"/>
      <c r="F41" s="12"/>
      <c r="J41" s="3"/>
      <c r="K41" s="3"/>
      <c r="L41" s="3"/>
      <c r="M41" s="20"/>
    </row>
    <row r="42" spans="1:24" ht="15.5" x14ac:dyDescent="0.35">
      <c r="A42" s="12"/>
      <c r="B42" s="159" t="s">
        <v>140</v>
      </c>
      <c r="C42" s="160"/>
      <c r="D42" s="161"/>
      <c r="F42" s="12"/>
      <c r="J42" s="3"/>
      <c r="K42" s="3"/>
      <c r="L42" s="3"/>
      <c r="M42" s="20"/>
    </row>
    <row r="43" spans="1:24" ht="33" customHeight="1" x14ac:dyDescent="0.35">
      <c r="A43" s="12"/>
      <c r="B43" s="159" t="s">
        <v>125</v>
      </c>
      <c r="C43" s="160"/>
      <c r="D43" s="161"/>
      <c r="F43" s="12"/>
      <c r="J43" s="3"/>
      <c r="K43" s="3"/>
      <c r="L43" s="3"/>
      <c r="M43" s="20"/>
    </row>
    <row r="44" spans="1:24" ht="15.5" x14ac:dyDescent="0.35">
      <c r="A44" s="12"/>
      <c r="B44" s="162" t="s">
        <v>126</v>
      </c>
      <c r="C44" s="162"/>
      <c r="D44" s="162"/>
      <c r="F44" s="12"/>
      <c r="L44" s="8"/>
      <c r="M44" s="13"/>
    </row>
    <row r="45" spans="1:24" ht="33" customHeight="1" thickBot="1" x14ac:dyDescent="0.4">
      <c r="A45" s="12"/>
      <c r="B45" s="166" t="s">
        <v>143</v>
      </c>
      <c r="C45" s="167"/>
      <c r="D45" s="167"/>
      <c r="F45" s="12"/>
      <c r="L45" s="8"/>
      <c r="M45" s="13"/>
    </row>
    <row r="46" spans="1:24" ht="16" thickBot="1" x14ac:dyDescent="0.4">
      <c r="A46" s="12"/>
      <c r="B46" s="168" t="s">
        <v>127</v>
      </c>
      <c r="C46" s="169"/>
      <c r="D46" s="170"/>
      <c r="F46" s="12"/>
      <c r="G46" s="163" t="s">
        <v>128</v>
      </c>
      <c r="H46" s="164"/>
      <c r="I46" s="165"/>
      <c r="J46" s="8"/>
      <c r="K46" s="8"/>
      <c r="L46" s="8"/>
      <c r="M46" s="20"/>
    </row>
    <row r="47" spans="1:24" ht="16" thickBot="1" x14ac:dyDescent="0.4">
      <c r="A47" s="14"/>
      <c r="B47" s="158"/>
      <c r="C47" s="158"/>
      <c r="D47" s="158"/>
      <c r="E47" s="79"/>
      <c r="F47" s="14"/>
      <c r="G47" s="15"/>
      <c r="H47" s="15"/>
      <c r="I47" s="21"/>
      <c r="J47" s="21"/>
      <c r="K47" s="21"/>
      <c r="L47" s="21"/>
      <c r="M47" s="31"/>
    </row>
    <row r="48" spans="1:24" ht="15.5" x14ac:dyDescent="0.35">
      <c r="E48" s="4"/>
      <c r="M48" s="8"/>
    </row>
  </sheetData>
  <mergeCells count="20">
    <mergeCell ref="B41:D41"/>
    <mergeCell ref="B16:D16"/>
    <mergeCell ref="B19:D19"/>
    <mergeCell ref="B37:D37"/>
    <mergeCell ref="C26:D26"/>
    <mergeCell ref="B28:D28"/>
    <mergeCell ref="C33:D33"/>
    <mergeCell ref="A1:M2"/>
    <mergeCell ref="A4:E4"/>
    <mergeCell ref="F4:M4"/>
    <mergeCell ref="B8:D8"/>
    <mergeCell ref="B6:D6"/>
    <mergeCell ref="A3:M3"/>
    <mergeCell ref="B47:D47"/>
    <mergeCell ref="B42:D42"/>
    <mergeCell ref="B44:D44"/>
    <mergeCell ref="B43:D43"/>
    <mergeCell ref="G46:I46"/>
    <mergeCell ref="B45:D45"/>
    <mergeCell ref="B46:D46"/>
  </mergeCells>
  <pageMargins left="0" right="0.70866141732283472" top="0" bottom="0" header="0.31496062992125984" footer="0.31496062992125984"/>
  <pageSetup paperSize="9" scale="55" orientation="landscape" r:id="rId1"/>
  <headerFooter>
    <oddFooter>&amp;C&amp;1#&amp;"Calibri"&amp;10&amp;K000000Classified as Business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Sheet2!$F$2:$F$7</xm:f>
          </x14:formula1>
          <xm:sqref>C10</xm:sqref>
        </x14:dataValidation>
        <x14:dataValidation type="list" allowBlank="1" showInputMessage="1" showErrorMessage="1" xr:uid="{9EE98C52-5FC1-4041-B37A-F9DB167B66AE}">
          <x14:formula1>
            <xm:f>Sheet2!$O$21:$O$25</xm:f>
          </x14:formula1>
          <xm:sqref>C21</xm:sqref>
        </x14:dataValidation>
        <x14:dataValidation type="list" allowBlank="1" showInputMessage="1" showErrorMessage="1" xr:uid="{00000000-0002-0000-0000-000000000000}">
          <x14:formula1>
            <xm:f>Sheet2!$B$42:$B$47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3A77-B92E-45A7-979D-6E664F96A812}">
  <dimension ref="A1:X44"/>
  <sheetViews>
    <sheetView zoomScale="90" zoomScaleNormal="90" workbookViewId="0">
      <selection activeCell="F11" sqref="F11"/>
    </sheetView>
  </sheetViews>
  <sheetFormatPr defaultColWidth="9.08984375" defaultRowHeight="14.5" x14ac:dyDescent="0.35"/>
  <cols>
    <col min="1" max="1" width="3.54296875" style="1" customWidth="1"/>
    <col min="2" max="2" width="37.6328125" style="1" bestFit="1" customWidth="1"/>
    <col min="3" max="3" width="12" style="1" customWidth="1"/>
    <col min="4" max="4" width="18" style="1" customWidth="1"/>
    <col min="5" max="5" width="5.453125" style="1" customWidth="1"/>
    <col min="6" max="6" width="5" style="1" customWidth="1"/>
    <col min="7" max="7" width="13.6328125" style="1" customWidth="1"/>
    <col min="8" max="8" width="14.453125" style="1" customWidth="1"/>
    <col min="9" max="9" width="7.453125" style="1" customWidth="1"/>
    <col min="10" max="10" width="13.453125" style="1" bestFit="1" customWidth="1"/>
    <col min="11" max="11" width="15.453125" style="1" customWidth="1"/>
    <col min="12" max="12" width="16.90625" style="1" customWidth="1"/>
    <col min="13" max="13" width="20.90625" style="1" customWidth="1"/>
    <col min="14" max="14" width="15.6328125" style="1" customWidth="1"/>
    <col min="15" max="15" width="11.453125" style="1" bestFit="1" customWidth="1"/>
    <col min="16" max="16" width="9.36328125" style="1" customWidth="1"/>
    <col min="17" max="16384" width="9.08984375" style="1"/>
  </cols>
  <sheetData>
    <row r="1" spans="1:24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N1"/>
    </row>
    <row r="2" spans="1:24" ht="44.25" customHeight="1" thickBot="1" x14ac:dyDescent="0.4">
      <c r="A2" s="174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75"/>
      <c r="N2" s="99"/>
      <c r="O2" s="100"/>
      <c r="P2" s="100"/>
      <c r="Q2" s="100"/>
      <c r="R2" s="100"/>
      <c r="S2" s="100"/>
      <c r="T2" s="100"/>
      <c r="U2" s="100"/>
      <c r="V2" s="100"/>
    </row>
    <row r="3" spans="1:24" ht="33" customHeight="1" thickBot="1" x14ac:dyDescent="0.4">
      <c r="A3" s="188" t="s">
        <v>129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90"/>
      <c r="N3" s="99"/>
      <c r="O3" s="100"/>
      <c r="P3" s="100"/>
      <c r="Q3" s="100"/>
      <c r="R3" s="100"/>
      <c r="S3" s="100"/>
      <c r="T3" s="100"/>
      <c r="U3" s="100"/>
      <c r="V3" s="100"/>
    </row>
    <row r="4" spans="1:24" ht="41.25" customHeight="1" thickBot="1" x14ac:dyDescent="0.4">
      <c r="A4" s="176" t="s">
        <v>99</v>
      </c>
      <c r="B4" s="177"/>
      <c r="C4" s="177"/>
      <c r="D4" s="177"/>
      <c r="E4" s="178"/>
      <c r="F4" s="179" t="s">
        <v>100</v>
      </c>
      <c r="G4" s="180"/>
      <c r="H4" s="180"/>
      <c r="I4" s="180"/>
      <c r="J4" s="180"/>
      <c r="K4" s="180"/>
      <c r="L4" s="180"/>
      <c r="M4" s="181"/>
      <c r="N4" s="99"/>
      <c r="O4" s="100"/>
      <c r="P4" s="100"/>
      <c r="Q4" s="100"/>
      <c r="R4" s="100"/>
      <c r="S4" s="100"/>
      <c r="T4" s="100"/>
      <c r="U4" s="100"/>
      <c r="V4" s="100"/>
    </row>
    <row r="5" spans="1:24" ht="16" thickBot="1" x14ac:dyDescent="0.4">
      <c r="A5" s="9"/>
      <c r="B5" s="10"/>
      <c r="C5" s="10"/>
      <c r="D5" s="11"/>
      <c r="E5" s="75"/>
      <c r="F5" s="9"/>
      <c r="G5" s="16"/>
      <c r="H5" s="16"/>
      <c r="I5" s="16"/>
      <c r="J5" s="16"/>
      <c r="K5" s="16"/>
      <c r="L5" s="16"/>
      <c r="M5" s="17"/>
      <c r="N5" s="100"/>
      <c r="O5" s="100"/>
      <c r="P5" s="100"/>
      <c r="Q5" s="100"/>
      <c r="R5" s="100"/>
      <c r="S5" s="100"/>
      <c r="T5" s="100"/>
      <c r="U5" s="100"/>
      <c r="V5" s="100"/>
    </row>
    <row r="6" spans="1:24" ht="19" customHeight="1" thickBot="1" x14ac:dyDescent="0.5">
      <c r="A6" s="12"/>
      <c r="B6" s="185" t="s">
        <v>101</v>
      </c>
      <c r="C6" s="186"/>
      <c r="D6" s="187"/>
      <c r="E6" s="76"/>
      <c r="F6" s="12"/>
      <c r="G6" s="209" t="s">
        <v>141</v>
      </c>
      <c r="H6" s="210"/>
      <c r="I6" s="210"/>
      <c r="J6" s="210"/>
      <c r="K6" s="210"/>
      <c r="L6" s="211"/>
      <c r="M6" s="13"/>
      <c r="N6" s="100"/>
      <c r="O6" s="100"/>
      <c r="P6" s="100"/>
      <c r="Q6" s="100"/>
      <c r="R6" s="100"/>
      <c r="S6" s="100"/>
      <c r="T6" s="100"/>
      <c r="U6" s="100"/>
      <c r="V6" s="100"/>
    </row>
    <row r="7" spans="1:24" ht="16" thickBot="1" x14ac:dyDescent="0.4">
      <c r="A7" s="12"/>
      <c r="B7" s="2"/>
      <c r="C7" s="2"/>
      <c r="D7" s="3"/>
      <c r="E7" s="3"/>
      <c r="F7" s="12"/>
      <c r="M7" s="13"/>
      <c r="N7" s="100"/>
      <c r="O7" s="100"/>
      <c r="P7" s="100"/>
      <c r="Q7" s="100"/>
      <c r="R7" s="100"/>
      <c r="S7" s="100"/>
      <c r="T7" s="100"/>
      <c r="U7" s="100"/>
      <c r="V7" s="100"/>
    </row>
    <row r="8" spans="1:24" ht="17.25" customHeight="1" x14ac:dyDescent="0.35">
      <c r="A8" s="12"/>
      <c r="B8" s="182" t="s">
        <v>144</v>
      </c>
      <c r="C8" s="183"/>
      <c r="D8" s="184"/>
      <c r="E8" s="2"/>
      <c r="F8" s="18"/>
      <c r="M8" s="13"/>
      <c r="N8" s="100"/>
      <c r="O8" s="100"/>
      <c r="P8" s="100"/>
      <c r="Q8" s="100"/>
      <c r="R8" s="100"/>
      <c r="S8" s="100"/>
      <c r="T8" s="100"/>
      <c r="U8" s="100"/>
      <c r="V8" s="100"/>
    </row>
    <row r="9" spans="1:24" ht="15.5" x14ac:dyDescent="0.35">
      <c r="A9" s="12"/>
      <c r="B9" s="102" t="s">
        <v>103</v>
      </c>
      <c r="C9" s="96">
        <v>220</v>
      </c>
      <c r="D9" s="103" t="s">
        <v>31</v>
      </c>
      <c r="E9" s="77"/>
      <c r="F9" s="19"/>
      <c r="M9" s="13"/>
      <c r="N9" s="100"/>
      <c r="O9" s="100"/>
      <c r="P9" s="100"/>
      <c r="Q9" s="100"/>
      <c r="R9" s="100"/>
      <c r="S9" s="100"/>
      <c r="T9" s="100"/>
      <c r="U9" s="100"/>
      <c r="V9" s="100"/>
    </row>
    <row r="10" spans="1:24" ht="15.5" x14ac:dyDescent="0.35">
      <c r="A10" s="12"/>
      <c r="B10" s="102" t="s">
        <v>130</v>
      </c>
      <c r="C10" s="97">
        <v>3</v>
      </c>
      <c r="D10" s="103" t="s">
        <v>33</v>
      </c>
      <c r="E10" s="77"/>
      <c r="F10" s="19"/>
      <c r="M10" s="13"/>
      <c r="N10" s="100"/>
      <c r="O10" s="100"/>
      <c r="P10" s="100"/>
      <c r="Q10" s="100"/>
      <c r="R10" s="100"/>
      <c r="S10" s="100"/>
      <c r="T10" s="100"/>
      <c r="U10" s="100"/>
      <c r="V10" s="100"/>
    </row>
    <row r="11" spans="1:24" ht="16" thickBot="1" x14ac:dyDescent="0.4">
      <c r="A11" s="12"/>
      <c r="B11" s="113" t="s">
        <v>131</v>
      </c>
      <c r="C11" s="141">
        <v>2.5</v>
      </c>
      <c r="D11" s="142" t="s">
        <v>33</v>
      </c>
      <c r="E11" s="77"/>
      <c r="F11" s="19"/>
      <c r="M11" s="13"/>
      <c r="N11" s="100"/>
      <c r="O11" s="100"/>
      <c r="P11" s="100"/>
      <c r="Q11" s="100"/>
      <c r="R11" s="100"/>
      <c r="S11" s="100"/>
      <c r="T11" s="100"/>
      <c r="U11" s="100"/>
      <c r="V11" s="100"/>
    </row>
    <row r="12" spans="1:24" ht="15.75" customHeight="1" thickBot="1" x14ac:dyDescent="0.4">
      <c r="A12" s="12"/>
      <c r="D12" s="6"/>
      <c r="E12" s="6"/>
      <c r="F12" s="19"/>
      <c r="G12" s="6"/>
      <c r="M12" s="13"/>
      <c r="N12" s="100"/>
      <c r="O12" s="98"/>
      <c r="P12" s="74"/>
      <c r="Q12" s="74"/>
      <c r="R12" s="74"/>
      <c r="S12" s="100"/>
      <c r="T12" s="100"/>
      <c r="U12" s="100"/>
      <c r="V12" s="100"/>
    </row>
    <row r="13" spans="1:24" ht="18.5" x14ac:dyDescent="0.45">
      <c r="A13" s="12"/>
      <c r="B13" s="203" t="s">
        <v>132</v>
      </c>
      <c r="C13" s="204"/>
      <c r="D13" s="205"/>
      <c r="E13" s="78"/>
      <c r="F13" s="12"/>
      <c r="M13" s="13"/>
      <c r="N13" s="100"/>
      <c r="O13" s="98"/>
      <c r="Q13" s="74"/>
      <c r="R13" s="74"/>
      <c r="S13" s="100"/>
      <c r="T13" s="100"/>
      <c r="U13" s="100"/>
      <c r="V13" s="100"/>
    </row>
    <row r="14" spans="1:24" ht="17.5" x14ac:dyDescent="0.35">
      <c r="A14" s="12"/>
      <c r="B14" s="145" t="s">
        <v>111</v>
      </c>
      <c r="C14" s="138">
        <v>250</v>
      </c>
      <c r="D14" s="131" t="s">
        <v>81</v>
      </c>
      <c r="F14" s="12"/>
      <c r="M14" s="13"/>
      <c r="N14" s="100"/>
      <c r="O14" s="125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5.5" x14ac:dyDescent="0.35">
      <c r="A15" s="12"/>
      <c r="B15" s="195"/>
      <c r="C15" s="196"/>
      <c r="D15" s="197"/>
      <c r="F15" s="12"/>
      <c r="M15" s="13"/>
      <c r="N15" s="100"/>
      <c r="O15" s="125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ht="15.5" x14ac:dyDescent="0.35">
      <c r="A16" s="12"/>
      <c r="B16" s="147" t="s">
        <v>84</v>
      </c>
      <c r="C16" s="126">
        <f>IF($C$9=230,VLOOKUP(B16,Sheet2!$F$35:$H$39,3,0),IF($C$9=220,VLOOKUP(B16,Sheet2!$F$35:$H$39,2,0),IF($C$9=240,VLOOKUP(B16,Sheet2!$F$35:$I$39,4,0),)))</f>
        <v>18.298676748582231</v>
      </c>
      <c r="D16" s="110" t="s">
        <v>29</v>
      </c>
      <c r="F16" s="12"/>
      <c r="M16" s="13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</row>
    <row r="17" spans="1:24" ht="31" x14ac:dyDescent="0.35">
      <c r="A17" s="12"/>
      <c r="B17" s="117" t="s">
        <v>112</v>
      </c>
      <c r="C17" s="149">
        <v>5</v>
      </c>
      <c r="D17" s="111" t="s">
        <v>0</v>
      </c>
      <c r="F17" s="12"/>
      <c r="M17" s="13"/>
      <c r="N17" s="100"/>
      <c r="O17" s="100"/>
      <c r="S17" s="100"/>
      <c r="T17" s="100"/>
      <c r="U17" s="100"/>
      <c r="V17" s="100"/>
      <c r="W17" s="100"/>
      <c r="X17" s="100"/>
    </row>
    <row r="18" spans="1:24" ht="17.5" x14ac:dyDescent="0.35">
      <c r="A18" s="12"/>
      <c r="B18" s="102" t="s">
        <v>113</v>
      </c>
      <c r="C18" s="133">
        <f>IF(Sheet2!M30&lt;250,"Choose smaller C-C distance",Sheet2!M30)</f>
        <v>365.97353497164465</v>
      </c>
      <c r="D18" s="109" t="s">
        <v>16</v>
      </c>
      <c r="F18" s="12"/>
      <c r="M18" s="13"/>
      <c r="N18" s="100"/>
      <c r="S18" s="100"/>
      <c r="T18" s="100"/>
      <c r="U18" s="100"/>
      <c r="V18" s="100"/>
      <c r="W18" s="100"/>
      <c r="X18" s="100"/>
    </row>
    <row r="19" spans="1:24" ht="17.5" x14ac:dyDescent="0.35">
      <c r="A19" s="12"/>
      <c r="B19" s="112" t="s">
        <v>133</v>
      </c>
      <c r="C19" s="128">
        <f>$C$10*2</f>
        <v>6</v>
      </c>
      <c r="D19" s="111" t="s">
        <v>40</v>
      </c>
      <c r="F19" s="12"/>
      <c r="M19" s="13"/>
      <c r="N19" s="100"/>
      <c r="S19" s="100"/>
      <c r="T19" s="100"/>
      <c r="U19" s="100"/>
      <c r="V19" s="100"/>
      <c r="W19" s="100"/>
      <c r="X19" s="100"/>
    </row>
    <row r="20" spans="1:24" ht="17.5" x14ac:dyDescent="0.35">
      <c r="A20" s="12"/>
      <c r="B20" s="112" t="s">
        <v>134</v>
      </c>
      <c r="C20" s="128">
        <f>$C$10*2</f>
        <v>6</v>
      </c>
      <c r="D20" s="111" t="s">
        <v>40</v>
      </c>
      <c r="F20" s="12"/>
      <c r="M20" s="13"/>
      <c r="N20" s="100"/>
      <c r="S20" s="100"/>
      <c r="T20" s="100"/>
      <c r="U20" s="100"/>
      <c r="V20" s="100"/>
      <c r="W20" s="100"/>
      <c r="X20" s="100"/>
    </row>
    <row r="21" spans="1:24" ht="15.5" x14ac:dyDescent="0.35">
      <c r="A21" s="12"/>
      <c r="B21" s="112" t="s">
        <v>135</v>
      </c>
      <c r="C21" s="128">
        <f>$C$19*100/$C$17</f>
        <v>120</v>
      </c>
      <c r="D21" s="111" t="s">
        <v>33</v>
      </c>
      <c r="F21" s="12"/>
      <c r="M21" s="13"/>
      <c r="N21" s="100"/>
      <c r="S21" s="100"/>
      <c r="T21" s="100"/>
      <c r="U21" s="100"/>
      <c r="V21" s="100"/>
      <c r="W21" s="100"/>
      <c r="X21" s="100"/>
    </row>
    <row r="22" spans="1:24" ht="15.5" x14ac:dyDescent="0.35">
      <c r="A22" s="12"/>
      <c r="B22" s="112" t="s">
        <v>136</v>
      </c>
      <c r="C22" s="128">
        <f>$C$19*100/$C$17</f>
        <v>120</v>
      </c>
      <c r="D22" s="111" t="s">
        <v>33</v>
      </c>
      <c r="F22" s="12"/>
      <c r="M22" s="13"/>
      <c r="N22" s="100"/>
      <c r="S22" s="100"/>
      <c r="T22" s="100"/>
      <c r="U22" s="100"/>
      <c r="V22" s="100"/>
      <c r="W22" s="100"/>
      <c r="X22" s="100"/>
    </row>
    <row r="23" spans="1:24" ht="15.5" x14ac:dyDescent="0.35">
      <c r="A23" s="12"/>
      <c r="B23" s="112" t="s">
        <v>115</v>
      </c>
      <c r="C23" s="128">
        <f>C21*C16+C22*C16</f>
        <v>4391.6824196597354</v>
      </c>
      <c r="D23" s="111" t="s">
        <v>34</v>
      </c>
      <c r="F23" s="12"/>
      <c r="M23" s="13"/>
      <c r="N23" s="100"/>
      <c r="O23" s="100"/>
      <c r="S23" s="100"/>
      <c r="T23" s="100"/>
      <c r="U23" s="100"/>
      <c r="V23" s="100"/>
      <c r="W23" s="100"/>
      <c r="X23" s="100"/>
    </row>
    <row r="24" spans="1:24" ht="15.5" x14ac:dyDescent="0.35">
      <c r="A24" s="12"/>
      <c r="B24" s="112" t="s">
        <v>116</v>
      </c>
      <c r="C24" s="128">
        <f>C19/0.25+C20/0.25</f>
        <v>48</v>
      </c>
      <c r="D24" s="111" t="s">
        <v>33</v>
      </c>
      <c r="F24" s="12"/>
      <c r="M24" s="13"/>
      <c r="N24" s="100"/>
      <c r="O24" s="100"/>
      <c r="S24" s="100"/>
      <c r="T24" s="100"/>
      <c r="U24" s="100"/>
      <c r="V24" s="100"/>
      <c r="W24" s="100"/>
      <c r="X24" s="100"/>
    </row>
    <row r="25" spans="1:24" ht="16" thickBot="1" x14ac:dyDescent="0.4">
      <c r="A25" s="12"/>
      <c r="B25" s="113" t="s">
        <v>117</v>
      </c>
      <c r="C25" s="212" t="s">
        <v>88</v>
      </c>
      <c r="D25" s="213"/>
      <c r="F25" s="12"/>
      <c r="M25" s="13"/>
      <c r="N25" s="100"/>
      <c r="O25" s="100"/>
      <c r="S25" s="100"/>
      <c r="T25" s="100"/>
      <c r="U25" s="100"/>
      <c r="V25" s="100"/>
      <c r="W25" s="100"/>
      <c r="X25" s="100"/>
    </row>
    <row r="26" spans="1:24" ht="16" thickBot="1" x14ac:dyDescent="0.4">
      <c r="A26" s="12"/>
      <c r="B26" s="136"/>
      <c r="C26" s="115"/>
      <c r="D26" s="137"/>
      <c r="F26" s="25"/>
      <c r="G26" s="24"/>
      <c r="H26" s="24"/>
      <c r="I26" s="24"/>
      <c r="J26" s="24"/>
      <c r="K26" s="24"/>
      <c r="L26" s="24"/>
      <c r="M26" s="26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ht="19" thickBot="1" x14ac:dyDescent="0.5">
      <c r="A27" s="12"/>
      <c r="B27" s="203" t="s">
        <v>137</v>
      </c>
      <c r="C27" s="204"/>
      <c r="D27" s="205"/>
      <c r="F27" s="25"/>
      <c r="G27" s="209" t="s">
        <v>142</v>
      </c>
      <c r="H27" s="210"/>
      <c r="I27" s="210"/>
      <c r="J27" s="210"/>
      <c r="K27" s="210"/>
      <c r="L27" s="211"/>
      <c r="M27" s="26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ht="15.5" x14ac:dyDescent="0.35">
      <c r="A28" s="12"/>
      <c r="B28" s="147" t="s">
        <v>85</v>
      </c>
      <c r="C28" s="126">
        <f>IF($C$9=230,VLOOKUP(B28,Sheet2!$F$35:$H$39,3,0),IF($C$9=220,VLOOKUP(B28,Sheet2!$F$35:$H$39,2,0),IF($C$9=240,VLOOKUP(B28,Sheet2!$F$35:$I$39,4,0),)))</f>
        <v>18.298676748582231</v>
      </c>
      <c r="D28" s="110" t="s">
        <v>29</v>
      </c>
      <c r="F28" s="25"/>
      <c r="G28" s="24"/>
      <c r="H28" s="24"/>
      <c r="I28" s="24"/>
      <c r="J28" s="24"/>
      <c r="K28" s="24"/>
      <c r="L28" s="24"/>
      <c r="M28" s="26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ht="31" x14ac:dyDescent="0.35">
      <c r="A29" s="12"/>
      <c r="B29" s="117" t="s">
        <v>112</v>
      </c>
      <c r="C29" s="149">
        <v>5</v>
      </c>
      <c r="D29" s="111" t="s">
        <v>0</v>
      </c>
      <c r="F29" s="25"/>
      <c r="G29" s="24"/>
      <c r="H29" s="24"/>
      <c r="I29" s="24"/>
      <c r="J29" s="24"/>
      <c r="K29" s="24"/>
      <c r="L29" s="24"/>
      <c r="M29" s="26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ht="17.5" x14ac:dyDescent="0.35">
      <c r="A30" s="12"/>
      <c r="B30" s="102" t="s">
        <v>113</v>
      </c>
      <c r="C30" s="133">
        <f>IF(Sheet2!M32&lt;250,"Choose smaller C-C distance",Sheet2!M32)</f>
        <v>365.97353497164465</v>
      </c>
      <c r="D30" s="109" t="s">
        <v>16</v>
      </c>
      <c r="F30" s="25"/>
      <c r="G30" s="24"/>
      <c r="H30" s="24"/>
      <c r="I30" s="24"/>
      <c r="J30" s="24"/>
      <c r="K30" s="24"/>
      <c r="L30" s="24"/>
      <c r="M30" s="26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ht="15.5" x14ac:dyDescent="0.35">
      <c r="A31" s="12"/>
      <c r="B31" s="117" t="s">
        <v>139</v>
      </c>
      <c r="C31" s="143">
        <v>2</v>
      </c>
      <c r="D31" s="111"/>
      <c r="F31" s="25"/>
      <c r="G31" s="24"/>
      <c r="H31" s="24"/>
      <c r="I31" s="24"/>
      <c r="J31" s="24"/>
      <c r="K31" s="24"/>
      <c r="L31" s="24"/>
      <c r="M31" s="26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ht="15.5" x14ac:dyDescent="0.35">
      <c r="A32" s="12"/>
      <c r="B32" s="112" t="s">
        <v>114</v>
      </c>
      <c r="C32" s="128">
        <f>(C10+C11)*2*2</f>
        <v>22</v>
      </c>
      <c r="D32" s="111" t="s">
        <v>33</v>
      </c>
      <c r="F32" s="25"/>
      <c r="G32" s="24"/>
      <c r="H32" s="24"/>
      <c r="I32" s="24"/>
      <c r="J32" s="24"/>
      <c r="K32" s="24"/>
      <c r="L32" s="24"/>
      <c r="M32" s="26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ht="15.5" x14ac:dyDescent="0.35">
      <c r="A33" s="12"/>
      <c r="B33" s="112" t="s">
        <v>115</v>
      </c>
      <c r="C33" s="128">
        <f>C32*C28</f>
        <v>402.57088846880907</v>
      </c>
      <c r="D33" s="111" t="s">
        <v>34</v>
      </c>
      <c r="F33" s="25"/>
      <c r="G33" s="24"/>
      <c r="H33" s="24"/>
      <c r="I33" s="24"/>
      <c r="J33" s="24"/>
      <c r="K33" s="24"/>
      <c r="L33" s="24"/>
      <c r="M33" s="26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ht="15.5" x14ac:dyDescent="0.35">
      <c r="A34" s="12"/>
      <c r="B34" s="112" t="s">
        <v>138</v>
      </c>
      <c r="C34" s="128">
        <f>C32</f>
        <v>22</v>
      </c>
      <c r="D34" s="111" t="s">
        <v>33</v>
      </c>
      <c r="F34" s="25"/>
      <c r="G34" s="24"/>
      <c r="H34" s="24"/>
      <c r="I34" s="24"/>
      <c r="J34" s="24"/>
      <c r="K34" s="24"/>
      <c r="L34" s="24"/>
      <c r="M34" s="26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1:24" ht="16" thickBot="1" x14ac:dyDescent="0.4">
      <c r="A35" s="12"/>
      <c r="B35" s="113" t="s">
        <v>117</v>
      </c>
      <c r="C35" s="212" t="s">
        <v>88</v>
      </c>
      <c r="D35" s="213"/>
      <c r="F35" s="25"/>
      <c r="G35" s="24"/>
      <c r="H35" s="24"/>
      <c r="I35" s="24"/>
      <c r="J35" s="24"/>
      <c r="K35" s="24"/>
      <c r="L35" s="24"/>
      <c r="M35" s="26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ht="15.5" x14ac:dyDescent="0.35">
      <c r="A36" s="12"/>
      <c r="B36" s="114"/>
      <c r="C36" s="115"/>
      <c r="D36" s="116"/>
      <c r="F36" s="25"/>
      <c r="G36" s="24"/>
      <c r="H36" s="24"/>
      <c r="I36" s="24"/>
      <c r="J36" s="24"/>
      <c r="K36" s="24"/>
      <c r="L36" s="24"/>
      <c r="M36" s="26"/>
    </row>
    <row r="37" spans="1:24" ht="18.5" x14ac:dyDescent="0.35">
      <c r="A37" s="12"/>
      <c r="B37" s="191" t="s">
        <v>124</v>
      </c>
      <c r="C37" s="191"/>
      <c r="D37" s="191"/>
      <c r="F37" s="12"/>
      <c r="J37" s="3"/>
      <c r="K37" s="3"/>
      <c r="L37" s="3"/>
      <c r="M37" s="20"/>
    </row>
    <row r="38" spans="1:24" ht="15.5" customHeight="1" x14ac:dyDescent="0.35">
      <c r="A38" s="12"/>
      <c r="B38" s="159" t="s">
        <v>140</v>
      </c>
      <c r="C38" s="160"/>
      <c r="D38" s="161"/>
      <c r="F38" s="12"/>
      <c r="J38" s="3"/>
      <c r="K38" s="3"/>
      <c r="L38" s="3"/>
      <c r="M38" s="20"/>
    </row>
    <row r="39" spans="1:24" ht="15.5" customHeight="1" x14ac:dyDescent="0.35">
      <c r="A39" s="12"/>
      <c r="B39" s="159" t="s">
        <v>125</v>
      </c>
      <c r="C39" s="160"/>
      <c r="D39" s="161"/>
      <c r="F39" s="12"/>
      <c r="J39" s="3"/>
      <c r="K39" s="3"/>
      <c r="L39" s="3"/>
      <c r="M39" s="20"/>
    </row>
    <row r="40" spans="1:24" ht="15.5" customHeight="1" x14ac:dyDescent="0.35">
      <c r="A40" s="12"/>
      <c r="B40" s="162" t="s">
        <v>126</v>
      </c>
      <c r="C40" s="162"/>
      <c r="D40" s="162"/>
      <c r="F40" s="12"/>
      <c r="L40" s="8"/>
      <c r="M40" s="13"/>
    </row>
    <row r="41" spans="1:24" ht="33" customHeight="1" x14ac:dyDescent="0.35">
      <c r="A41" s="12"/>
      <c r="B41" s="166" t="s">
        <v>143</v>
      </c>
      <c r="C41" s="167"/>
      <c r="D41" s="167"/>
      <c r="F41" s="12"/>
      <c r="L41" s="8"/>
      <c r="M41" s="13"/>
    </row>
    <row r="42" spans="1:24" ht="15.5" customHeight="1" x14ac:dyDescent="0.35">
      <c r="A42" s="12"/>
      <c r="B42" s="168" t="s">
        <v>127</v>
      </c>
      <c r="C42" s="169"/>
      <c r="D42" s="170"/>
      <c r="F42" s="12"/>
      <c r="J42" s="8"/>
      <c r="K42" s="8"/>
      <c r="L42" s="8"/>
      <c r="M42" s="20"/>
    </row>
    <row r="43" spans="1:24" ht="88.5" customHeight="1" thickBot="1" x14ac:dyDescent="0.4">
      <c r="A43" s="14"/>
      <c r="B43" s="158"/>
      <c r="C43" s="158"/>
      <c r="D43" s="158"/>
      <c r="E43" s="79"/>
      <c r="F43" s="14"/>
      <c r="G43" s="208" t="s">
        <v>128</v>
      </c>
      <c r="H43" s="208"/>
      <c r="I43" s="208"/>
      <c r="J43" s="21"/>
      <c r="K43" s="21"/>
      <c r="L43" s="21"/>
      <c r="M43" s="31"/>
    </row>
    <row r="44" spans="1:24" ht="15.5" x14ac:dyDescent="0.35">
      <c r="E44" s="4"/>
      <c r="M44" s="8"/>
    </row>
  </sheetData>
  <mergeCells count="21">
    <mergeCell ref="A1:M2"/>
    <mergeCell ref="A3:M3"/>
    <mergeCell ref="A4:E4"/>
    <mergeCell ref="F4:M4"/>
    <mergeCell ref="B6:D6"/>
    <mergeCell ref="G43:I43"/>
    <mergeCell ref="B43:D43"/>
    <mergeCell ref="G6:L6"/>
    <mergeCell ref="G27:L27"/>
    <mergeCell ref="C35:D35"/>
    <mergeCell ref="B37:D37"/>
    <mergeCell ref="B38:D38"/>
    <mergeCell ref="B39:D39"/>
    <mergeCell ref="B40:D40"/>
    <mergeCell ref="B41:D41"/>
    <mergeCell ref="B42:D42"/>
    <mergeCell ref="B13:D13"/>
    <mergeCell ref="B15:D15"/>
    <mergeCell ref="C25:D25"/>
    <mergeCell ref="B27:D27"/>
    <mergeCell ref="B8:D8"/>
  </mergeCells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07FD113-CADB-45FF-91B9-267253171628}">
          <x14:formula1>
            <xm:f>Sheet2!$O$28:$O$30</xm:f>
          </x14:formula1>
          <xm:sqref>C17</xm:sqref>
        </x14:dataValidation>
        <x14:dataValidation type="list" allowBlank="1" showInputMessage="1" showErrorMessage="1" xr:uid="{81981DE0-E76A-4E97-882E-75C4D88BCCF9}">
          <x14:formula1>
            <xm:f>Sheet2!$F$2:$F$4</xm:f>
          </x14:formula1>
          <xm:sqref>C9</xm:sqref>
        </x14:dataValidation>
        <x14:dataValidation type="list" allowBlank="1" showInputMessage="1" showErrorMessage="1" xr:uid="{A46D2E74-4340-43A4-B35C-EA6D6F96FEAB}">
          <x14:formula1>
            <xm:f>Sheet2!$F$35:$F$39</xm:f>
          </x14:formula1>
          <xm:sqref>B16 B28</xm:sqref>
        </x14:dataValidation>
        <x14:dataValidation type="list" allowBlank="1" showInputMessage="1" showErrorMessage="1" xr:uid="{8BAD8E18-A5DE-491A-914A-D1821880AE14}">
          <x14:formula1>
            <xm:f>Sheet2!$M$34:$M$36</xm:f>
          </x14:formula1>
          <xm:sqref>C25:D25 C35:D35</xm:sqref>
        </x14:dataValidation>
        <x14:dataValidation type="list" allowBlank="1" showInputMessage="1" showErrorMessage="1" xr:uid="{85F17477-53D6-48EF-A496-0CE2394062C8}">
          <x14:formula1>
            <xm:f>Sheet2!$P$28:$P$29</xm:f>
          </x14:formula1>
          <xm:sqref>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7"/>
  <sheetViews>
    <sheetView topLeftCell="A19" workbookViewId="0">
      <selection activeCell="M32" sqref="M32"/>
    </sheetView>
  </sheetViews>
  <sheetFormatPr defaultRowHeight="14.5" x14ac:dyDescent="0.35"/>
  <cols>
    <col min="2" max="2" width="20.54296875" customWidth="1"/>
    <col min="3" max="3" width="9.453125" customWidth="1"/>
    <col min="4" max="4" width="14.6328125" customWidth="1"/>
    <col min="5" max="5" width="17" customWidth="1"/>
    <col min="6" max="6" width="18.36328125" customWidth="1"/>
    <col min="7" max="7" width="19.54296875" customWidth="1"/>
    <col min="9" max="9" width="15.08984375" customWidth="1"/>
    <col min="11" max="11" width="15.6328125" customWidth="1"/>
  </cols>
  <sheetData>
    <row r="1" spans="1:28" x14ac:dyDescent="0.35">
      <c r="F1" s="36" t="s">
        <v>30</v>
      </c>
    </row>
    <row r="2" spans="1:28" ht="15.5" x14ac:dyDescent="0.35">
      <c r="A2" s="5"/>
      <c r="B2" s="216" t="s">
        <v>2</v>
      </c>
      <c r="C2" s="217"/>
      <c r="D2" s="218"/>
      <c r="F2" s="37">
        <v>220</v>
      </c>
    </row>
    <row r="3" spans="1:28" ht="15.5" x14ac:dyDescent="0.35">
      <c r="A3" s="1"/>
      <c r="B3" s="216" t="s">
        <v>5</v>
      </c>
      <c r="C3" s="217"/>
      <c r="D3" s="218"/>
      <c r="F3" s="37">
        <v>230</v>
      </c>
    </row>
    <row r="4" spans="1:28" ht="33" x14ac:dyDescent="0.35">
      <c r="A4" s="1"/>
      <c r="B4" s="34" t="s">
        <v>6</v>
      </c>
      <c r="C4" s="225" t="s">
        <v>18</v>
      </c>
      <c r="D4" s="226"/>
      <c r="F4" s="37">
        <v>240</v>
      </c>
    </row>
    <row r="5" spans="1:28" ht="33" x14ac:dyDescent="0.35">
      <c r="A5" s="1"/>
      <c r="B5" s="23" t="s">
        <v>7</v>
      </c>
      <c r="C5" s="225" t="s">
        <v>19</v>
      </c>
      <c r="D5" s="226"/>
      <c r="F5" s="37">
        <v>380</v>
      </c>
    </row>
    <row r="6" spans="1:28" x14ac:dyDescent="0.35">
      <c r="A6" s="1"/>
      <c r="F6" s="37">
        <v>400</v>
      </c>
    </row>
    <row r="7" spans="1:28" x14ac:dyDescent="0.35">
      <c r="A7" s="1"/>
      <c r="F7" s="37">
        <v>460</v>
      </c>
    </row>
    <row r="8" spans="1:28" ht="15.5" x14ac:dyDescent="0.35">
      <c r="B8" s="219" t="s">
        <v>3</v>
      </c>
      <c r="C8" s="220"/>
      <c r="D8" s="220"/>
      <c r="E8" s="220"/>
      <c r="F8" s="220"/>
      <c r="G8" s="221"/>
      <c r="I8" s="219" t="s">
        <v>3</v>
      </c>
      <c r="J8" s="220"/>
      <c r="K8" s="220"/>
      <c r="L8" s="220"/>
      <c r="M8" s="220"/>
      <c r="N8" s="221"/>
      <c r="P8" s="219" t="s">
        <v>3</v>
      </c>
      <c r="Q8" s="220"/>
      <c r="R8" s="220"/>
      <c r="S8" s="220"/>
      <c r="T8" s="220"/>
      <c r="U8" s="221"/>
      <c r="W8" s="219" t="s">
        <v>3</v>
      </c>
      <c r="X8" s="220"/>
      <c r="Y8" s="220"/>
      <c r="Z8" s="220"/>
      <c r="AA8" s="220"/>
      <c r="AB8" s="221"/>
    </row>
    <row r="9" spans="1:28" ht="15.75" customHeight="1" x14ac:dyDescent="0.35">
      <c r="B9" s="214" t="s">
        <v>20</v>
      </c>
      <c r="C9" s="222"/>
      <c r="D9" s="222"/>
      <c r="E9" s="222"/>
      <c r="F9" s="222"/>
      <c r="G9" s="215"/>
      <c r="I9" s="214" t="s">
        <v>35</v>
      </c>
      <c r="J9" s="222"/>
      <c r="K9" s="222"/>
      <c r="L9" s="222"/>
      <c r="M9" s="222"/>
      <c r="N9" s="215"/>
      <c r="P9" s="214" t="s">
        <v>41</v>
      </c>
      <c r="Q9" s="222"/>
      <c r="R9" s="222"/>
      <c r="S9" s="222"/>
      <c r="T9" s="222"/>
      <c r="U9" s="215"/>
      <c r="W9" s="214" t="s">
        <v>47</v>
      </c>
      <c r="X9" s="222"/>
      <c r="Y9" s="222"/>
      <c r="Z9" s="222"/>
      <c r="AA9" s="222"/>
      <c r="AB9" s="215"/>
    </row>
    <row r="10" spans="1:28" ht="62" x14ac:dyDescent="0.35">
      <c r="B10" s="223" t="s">
        <v>1</v>
      </c>
      <c r="C10" s="29" t="s">
        <v>10</v>
      </c>
      <c r="D10" s="29"/>
      <c r="E10" s="28" t="s">
        <v>12</v>
      </c>
      <c r="F10" s="28" t="s">
        <v>13</v>
      </c>
      <c r="G10" s="28"/>
      <c r="I10" s="223" t="s">
        <v>1</v>
      </c>
      <c r="J10" s="29" t="s">
        <v>10</v>
      </c>
      <c r="K10" s="29"/>
      <c r="L10" s="28" t="s">
        <v>12</v>
      </c>
      <c r="M10" s="28" t="s">
        <v>13</v>
      </c>
      <c r="N10" s="28"/>
      <c r="P10" s="223" t="s">
        <v>1</v>
      </c>
      <c r="Q10" s="29" t="s">
        <v>10</v>
      </c>
      <c r="R10" s="29"/>
      <c r="S10" s="28" t="s">
        <v>12</v>
      </c>
      <c r="T10" s="28" t="s">
        <v>13</v>
      </c>
      <c r="U10" s="28"/>
      <c r="W10" s="223" t="s">
        <v>1</v>
      </c>
      <c r="X10" s="29" t="s">
        <v>10</v>
      </c>
      <c r="Y10" s="29"/>
      <c r="Z10" s="28" t="s">
        <v>12</v>
      </c>
      <c r="AA10" s="28" t="s">
        <v>13</v>
      </c>
      <c r="AB10" s="28"/>
    </row>
    <row r="11" spans="1:28" ht="93" x14ac:dyDescent="0.35">
      <c r="B11" s="224"/>
      <c r="C11" s="29" t="s">
        <v>11</v>
      </c>
      <c r="D11" s="28" t="s">
        <v>23</v>
      </c>
      <c r="E11" s="28" t="s">
        <v>22</v>
      </c>
      <c r="F11" s="28" t="s">
        <v>14</v>
      </c>
      <c r="G11" s="28" t="s">
        <v>15</v>
      </c>
      <c r="I11" s="224"/>
      <c r="J11" s="29" t="s">
        <v>11</v>
      </c>
      <c r="K11" s="28" t="s">
        <v>23</v>
      </c>
      <c r="L11" s="28" t="s">
        <v>22</v>
      </c>
      <c r="M11" s="28" t="s">
        <v>14</v>
      </c>
      <c r="N11" s="28" t="s">
        <v>15</v>
      </c>
      <c r="P11" s="224"/>
      <c r="Q11" s="29" t="s">
        <v>11</v>
      </c>
      <c r="R11" s="28" t="s">
        <v>23</v>
      </c>
      <c r="S11" s="28" t="s">
        <v>22</v>
      </c>
      <c r="T11" s="28" t="s">
        <v>14</v>
      </c>
      <c r="U11" s="28" t="s">
        <v>15</v>
      </c>
      <c r="W11" s="224"/>
      <c r="X11" s="29" t="s">
        <v>11</v>
      </c>
      <c r="Y11" s="28" t="s">
        <v>23</v>
      </c>
      <c r="Z11" s="28" t="s">
        <v>22</v>
      </c>
      <c r="AA11" s="28" t="s">
        <v>14</v>
      </c>
      <c r="AB11" s="28" t="s">
        <v>15</v>
      </c>
    </row>
    <row r="12" spans="1:28" ht="33" x14ac:dyDescent="0.35">
      <c r="B12" s="214"/>
      <c r="C12" s="215"/>
      <c r="D12" s="35" t="s">
        <v>24</v>
      </c>
      <c r="E12" s="35" t="s">
        <v>8</v>
      </c>
      <c r="F12" s="35" t="s">
        <v>9</v>
      </c>
      <c r="G12" s="35" t="s">
        <v>21</v>
      </c>
      <c r="I12" s="214"/>
      <c r="J12" s="215"/>
      <c r="K12" s="35" t="s">
        <v>36</v>
      </c>
      <c r="L12" s="35" t="s">
        <v>37</v>
      </c>
      <c r="M12" s="35" t="s">
        <v>38</v>
      </c>
      <c r="N12" s="35" t="s">
        <v>39</v>
      </c>
      <c r="P12" s="214"/>
      <c r="Q12" s="215"/>
      <c r="R12" s="35" t="s">
        <v>42</v>
      </c>
      <c r="S12" s="35" t="s">
        <v>43</v>
      </c>
      <c r="T12" s="35" t="s">
        <v>44</v>
      </c>
      <c r="U12" s="35" t="s">
        <v>45</v>
      </c>
      <c r="W12" s="214"/>
      <c r="X12" s="215"/>
      <c r="Y12" s="35" t="s">
        <v>48</v>
      </c>
      <c r="Z12" s="35" t="s">
        <v>49</v>
      </c>
      <c r="AA12" s="35" t="s">
        <v>50</v>
      </c>
      <c r="AB12" s="35" t="s">
        <v>51</v>
      </c>
    </row>
    <row r="13" spans="1:28" ht="15.5" x14ac:dyDescent="0.35">
      <c r="B13" s="7">
        <v>5</v>
      </c>
      <c r="C13" s="7"/>
      <c r="D13" s="22">
        <f>18*100/B13</f>
        <v>360</v>
      </c>
      <c r="E13" s="22">
        <f>20*100/B13</f>
        <v>400</v>
      </c>
      <c r="F13" s="22">
        <f>30*100/B13</f>
        <v>600</v>
      </c>
      <c r="G13" s="27"/>
      <c r="I13" s="7">
        <v>5</v>
      </c>
      <c r="J13" s="7"/>
      <c r="K13" s="22">
        <f>18*100/I13*0.915</f>
        <v>329.40000000000003</v>
      </c>
      <c r="L13" s="22">
        <f>20*100/I13*0.915</f>
        <v>366</v>
      </c>
      <c r="M13" s="22">
        <f>30*100/I13*0.915</f>
        <v>549</v>
      </c>
      <c r="N13" s="27"/>
      <c r="P13" s="7">
        <v>5</v>
      </c>
      <c r="Q13" s="7"/>
      <c r="R13" s="22">
        <f>18*100/P13*1.09</f>
        <v>392.40000000000003</v>
      </c>
      <c r="S13" s="22">
        <f>20*100/P13*1.09</f>
        <v>436.00000000000006</v>
      </c>
      <c r="T13" s="22">
        <f>30*100/P13*1.09</f>
        <v>654</v>
      </c>
      <c r="U13" s="27"/>
      <c r="W13" s="7">
        <v>5</v>
      </c>
      <c r="X13" s="7"/>
      <c r="Y13" s="22">
        <f>18*100/W13*0.82</f>
        <v>295.2</v>
      </c>
      <c r="Z13" s="22">
        <f>20*100/W13*0.82</f>
        <v>328</v>
      </c>
      <c r="AA13" s="22">
        <f>30*100/W13*0.82</f>
        <v>491.99999999999994</v>
      </c>
      <c r="AB13" s="27"/>
    </row>
    <row r="14" spans="1:28" ht="15.5" x14ac:dyDescent="0.35">
      <c r="B14" s="7">
        <v>7.5</v>
      </c>
      <c r="C14" s="7"/>
      <c r="D14" s="22">
        <f>18*100/B14</f>
        <v>240</v>
      </c>
      <c r="E14" s="22">
        <f>20*100/B14</f>
        <v>266.66666666666669</v>
      </c>
      <c r="F14" s="22">
        <f>30*100/B14</f>
        <v>400</v>
      </c>
      <c r="G14" s="27"/>
      <c r="I14" s="7">
        <v>7.5</v>
      </c>
      <c r="J14" s="7"/>
      <c r="K14" s="22">
        <f>18*100/I14*0.915</f>
        <v>219.60000000000002</v>
      </c>
      <c r="L14" s="22">
        <f>20*100/I14*0.915</f>
        <v>244.00000000000003</v>
      </c>
      <c r="M14" s="22">
        <f t="shared" ref="M14:M16" si="0">30*100/I14*0.915</f>
        <v>366</v>
      </c>
      <c r="N14" s="27"/>
      <c r="P14" s="7">
        <v>7.5</v>
      </c>
      <c r="Q14" s="7"/>
      <c r="R14" s="22">
        <f>18*100/P14*1.09</f>
        <v>261.60000000000002</v>
      </c>
      <c r="S14" s="22">
        <f>20*100/P14*1.09</f>
        <v>290.66666666666669</v>
      </c>
      <c r="T14" s="22">
        <f t="shared" ref="T14:T16" si="1">30*100/P14*1.09</f>
        <v>436.00000000000006</v>
      </c>
      <c r="U14" s="27"/>
      <c r="W14" s="7">
        <v>7.5</v>
      </c>
      <c r="X14" s="7"/>
      <c r="Y14" s="22">
        <f>18*100/W14*0.82</f>
        <v>196.79999999999998</v>
      </c>
      <c r="Z14" s="22">
        <f>20*100/W14*0.82</f>
        <v>218.66666666666666</v>
      </c>
      <c r="AA14" s="22">
        <f t="shared" ref="AA14:AA16" si="2">30*100/W14*0.82</f>
        <v>328</v>
      </c>
      <c r="AB14" s="27"/>
    </row>
    <row r="15" spans="1:28" ht="15.5" x14ac:dyDescent="0.35">
      <c r="B15" s="7">
        <v>10</v>
      </c>
      <c r="C15" s="7"/>
      <c r="D15" s="7"/>
      <c r="E15" s="22"/>
      <c r="F15" s="22">
        <f>30*100/B15</f>
        <v>300</v>
      </c>
      <c r="G15" s="7">
        <v>300</v>
      </c>
      <c r="I15" s="7">
        <v>10</v>
      </c>
      <c r="J15" s="7"/>
      <c r="K15" s="7"/>
      <c r="L15" s="22"/>
      <c r="M15" s="22">
        <f t="shared" si="0"/>
        <v>274.5</v>
      </c>
      <c r="N15" s="7">
        <f>300*0.915</f>
        <v>274.5</v>
      </c>
      <c r="P15" s="7">
        <v>10</v>
      </c>
      <c r="Q15" s="7"/>
      <c r="R15" s="7"/>
      <c r="S15" s="22"/>
      <c r="T15" s="22">
        <f t="shared" si="1"/>
        <v>327</v>
      </c>
      <c r="U15" s="7">
        <f>300*1.09</f>
        <v>327</v>
      </c>
      <c r="W15" s="7">
        <v>10</v>
      </c>
      <c r="X15" s="7"/>
      <c r="Y15" s="7"/>
      <c r="Z15" s="22"/>
      <c r="AA15" s="22">
        <f t="shared" si="2"/>
        <v>245.99999999999997</v>
      </c>
      <c r="AB15" s="7">
        <f>300*0.82</f>
        <v>245.99999999999997</v>
      </c>
    </row>
    <row r="16" spans="1:28" ht="15.5" x14ac:dyDescent="0.35">
      <c r="B16" s="7">
        <v>12.5</v>
      </c>
      <c r="C16" s="7"/>
      <c r="D16" s="7"/>
      <c r="E16" s="22"/>
      <c r="F16" s="22">
        <f>30*100/B16</f>
        <v>240</v>
      </c>
      <c r="G16" s="27"/>
      <c r="I16" s="7">
        <v>12.5</v>
      </c>
      <c r="J16" s="7"/>
      <c r="K16" s="7"/>
      <c r="L16" s="22"/>
      <c r="M16" s="22">
        <f t="shared" si="0"/>
        <v>219.60000000000002</v>
      </c>
      <c r="N16" s="27"/>
      <c r="P16" s="7">
        <v>12.5</v>
      </c>
      <c r="Q16" s="7"/>
      <c r="R16" s="7"/>
      <c r="S16" s="22"/>
      <c r="T16" s="22">
        <f t="shared" si="1"/>
        <v>261.60000000000002</v>
      </c>
      <c r="U16" s="27"/>
      <c r="W16" s="7">
        <v>12.5</v>
      </c>
      <c r="X16" s="7"/>
      <c r="Y16" s="7"/>
      <c r="Z16" s="22"/>
      <c r="AA16" s="22">
        <f t="shared" si="2"/>
        <v>196.79999999999998</v>
      </c>
      <c r="AB16" s="27"/>
    </row>
    <row r="17" spans="2:17" ht="15.5" x14ac:dyDescent="0.35">
      <c r="B17" s="30" t="s">
        <v>17</v>
      </c>
    </row>
    <row r="18" spans="2:17" ht="15.5" x14ac:dyDescent="0.35">
      <c r="B18" s="30"/>
    </row>
    <row r="19" spans="2:17" x14ac:dyDescent="0.35">
      <c r="C19" s="51" t="s">
        <v>46</v>
      </c>
      <c r="D19" s="51"/>
      <c r="E19" s="52">
        <v>220</v>
      </c>
      <c r="F19" s="52">
        <v>240</v>
      </c>
      <c r="G19" s="52">
        <v>208</v>
      </c>
      <c r="H19" s="85" t="s">
        <v>67</v>
      </c>
      <c r="I19" s="86" t="s">
        <v>68</v>
      </c>
      <c r="K19" s="227"/>
      <c r="L19" s="227"/>
      <c r="M19" s="227"/>
      <c r="N19" s="42"/>
      <c r="O19" s="227"/>
      <c r="P19" s="227"/>
      <c r="Q19" s="227"/>
    </row>
    <row r="20" spans="2:17" ht="31" x14ac:dyDescent="0.35">
      <c r="B20" s="38" t="s">
        <v>70</v>
      </c>
      <c r="C20" s="39">
        <v>18</v>
      </c>
      <c r="D20" s="40" t="s">
        <v>29</v>
      </c>
      <c r="E20" s="39">
        <v>16.47</v>
      </c>
      <c r="F20" s="39">
        <v>19.62</v>
      </c>
      <c r="G20" s="48">
        <v>14.76</v>
      </c>
      <c r="H20" s="87"/>
      <c r="I20" s="88"/>
      <c r="K20" s="32"/>
      <c r="L20" s="42"/>
      <c r="M20" s="43"/>
      <c r="N20" s="42"/>
      <c r="O20" s="32"/>
      <c r="P20" s="42"/>
      <c r="Q20" s="43"/>
    </row>
    <row r="21" spans="2:17" x14ac:dyDescent="0.35">
      <c r="B21" s="41" t="s">
        <v>25</v>
      </c>
      <c r="C21" s="42">
        <v>20</v>
      </c>
      <c r="D21" s="43" t="s">
        <v>29</v>
      </c>
      <c r="E21" s="42">
        <v>18.3</v>
      </c>
      <c r="F21" s="42">
        <v>21.08</v>
      </c>
      <c r="G21" s="49">
        <v>16.399999999999999</v>
      </c>
      <c r="H21" s="89">
        <v>20</v>
      </c>
      <c r="I21" s="49">
        <v>18.3</v>
      </c>
      <c r="K21" s="33"/>
      <c r="L21" s="42"/>
      <c r="M21" s="101">
        <f>IF('Fundație depozit frigorific'!C17&lt;15,'Fundație depozit frigorific'!C20*100/'Fundație depozit frigorific'!C18,'Fundație depozit frigorific'!C20*100/'Fundație depozit frigorific'!C17)</f>
        <v>120</v>
      </c>
      <c r="N21" s="42"/>
      <c r="O21" s="100">
        <v>30</v>
      </c>
      <c r="P21" s="100"/>
      <c r="Q21" s="130" t="e">
        <f>'Fundație depozit frigorific'!#REF!*100/O21</f>
        <v>#REF!</v>
      </c>
    </row>
    <row r="22" spans="2:17" x14ac:dyDescent="0.35">
      <c r="B22" s="41" t="s">
        <v>26</v>
      </c>
      <c r="C22" s="42">
        <v>20</v>
      </c>
      <c r="D22" s="43" t="s">
        <v>29</v>
      </c>
      <c r="E22" s="42">
        <v>18.3</v>
      </c>
      <c r="F22" s="42">
        <v>21.08</v>
      </c>
      <c r="G22" s="49">
        <v>16.399999999999999</v>
      </c>
      <c r="H22" s="89">
        <v>20</v>
      </c>
      <c r="I22" s="49">
        <v>18.3</v>
      </c>
      <c r="K22" s="33"/>
      <c r="L22" s="42"/>
      <c r="M22" s="43"/>
      <c r="N22" s="42"/>
      <c r="O22" s="100">
        <v>35</v>
      </c>
      <c r="P22" s="100"/>
      <c r="Q22" s="130" t="e">
        <f>'Fundație depozit frigorific'!#REF!*100/O22</f>
        <v>#REF!</v>
      </c>
    </row>
    <row r="23" spans="2:17" ht="15.5" x14ac:dyDescent="0.35">
      <c r="B23" s="44" t="s">
        <v>71</v>
      </c>
      <c r="C23" s="42">
        <v>20</v>
      </c>
      <c r="D23" s="43" t="s">
        <v>29</v>
      </c>
      <c r="E23" s="42">
        <v>18.3</v>
      </c>
      <c r="F23" s="42">
        <v>21.08</v>
      </c>
      <c r="G23" s="49">
        <v>16.399999999999999</v>
      </c>
      <c r="H23" s="89">
        <v>20</v>
      </c>
      <c r="I23" s="49">
        <v>18.3</v>
      </c>
      <c r="K23" s="32"/>
      <c r="L23" s="42"/>
      <c r="M23" s="127">
        <f>'Fundație depozit frigorific'!C20*100/'Fundație depozit frigorific'!C21</f>
        <v>36</v>
      </c>
      <c r="N23" s="42"/>
      <c r="O23" s="100">
        <v>40</v>
      </c>
      <c r="P23" s="100"/>
      <c r="Q23" s="130" t="e">
        <f>'Fundație depozit frigorific'!#REF!*100/O23</f>
        <v>#REF!</v>
      </c>
    </row>
    <row r="24" spans="2:17" ht="15.5" x14ac:dyDescent="0.35">
      <c r="B24" s="44" t="s">
        <v>72</v>
      </c>
      <c r="C24" s="42">
        <v>20</v>
      </c>
      <c r="D24" s="43" t="s">
        <v>29</v>
      </c>
      <c r="E24" s="42">
        <v>18.3</v>
      </c>
      <c r="F24" s="42">
        <v>21.08</v>
      </c>
      <c r="G24" s="49">
        <v>16.399999999999999</v>
      </c>
      <c r="H24" s="89">
        <v>20</v>
      </c>
      <c r="I24" s="49">
        <v>18.3</v>
      </c>
      <c r="K24" s="32"/>
      <c r="L24" s="42"/>
      <c r="M24" s="43"/>
      <c r="N24" s="42"/>
      <c r="O24" s="100">
        <v>45</v>
      </c>
      <c r="P24" s="100"/>
      <c r="Q24" s="130" t="e">
        <f>'Fundație depozit frigorific'!#REF!*100/O24</f>
        <v>#REF!</v>
      </c>
    </row>
    <row r="25" spans="2:17" ht="15.5" x14ac:dyDescent="0.35">
      <c r="B25" s="44" t="s">
        <v>73</v>
      </c>
      <c r="C25" s="42">
        <v>20</v>
      </c>
      <c r="D25" s="43" t="s">
        <v>29</v>
      </c>
      <c r="E25" s="42">
        <v>18.3</v>
      </c>
      <c r="F25" s="42">
        <v>21.08</v>
      </c>
      <c r="G25" s="49">
        <v>16.399999999999999</v>
      </c>
      <c r="H25" s="87"/>
      <c r="I25" s="88"/>
      <c r="K25" s="32"/>
      <c r="L25" s="42"/>
      <c r="M25" s="43"/>
      <c r="N25" s="42"/>
      <c r="O25" s="100">
        <v>50</v>
      </c>
      <c r="P25" s="100"/>
      <c r="Q25" s="130" t="e">
        <f>'Fundație depozit frigorific'!#REF!*100/O25</f>
        <v>#REF!</v>
      </c>
    </row>
    <row r="26" spans="2:17" x14ac:dyDescent="0.35">
      <c r="B26" s="41" t="s">
        <v>27</v>
      </c>
      <c r="C26" s="42">
        <v>30</v>
      </c>
      <c r="D26" s="43" t="s">
        <v>29</v>
      </c>
      <c r="E26" s="42">
        <v>27.45</v>
      </c>
      <c r="F26" s="42">
        <v>32.700000000000003</v>
      </c>
      <c r="G26" s="49">
        <v>24.6</v>
      </c>
      <c r="H26" s="87">
        <v>30</v>
      </c>
      <c r="I26" s="49">
        <v>27.45</v>
      </c>
      <c r="K26" s="33"/>
      <c r="L26" s="42"/>
      <c r="M26" s="43"/>
      <c r="N26" s="42"/>
      <c r="O26" s="33"/>
      <c r="P26" s="42"/>
      <c r="Q26" s="43"/>
    </row>
    <row r="27" spans="2:17" ht="15.5" x14ac:dyDescent="0.35">
      <c r="B27" s="41" t="s">
        <v>28</v>
      </c>
      <c r="C27" s="42">
        <v>30</v>
      </c>
      <c r="D27" s="43" t="s">
        <v>29</v>
      </c>
      <c r="E27" s="42">
        <v>27.45</v>
      </c>
      <c r="F27" s="42">
        <v>32.700000000000003</v>
      </c>
      <c r="G27" s="49">
        <v>24.6</v>
      </c>
      <c r="H27" s="87">
        <v>30</v>
      </c>
      <c r="I27" s="49">
        <v>27.45</v>
      </c>
      <c r="K27" s="33"/>
      <c r="L27" s="42"/>
      <c r="M27" s="43"/>
      <c r="N27" s="42"/>
      <c r="O27" s="32"/>
      <c r="P27" s="42"/>
      <c r="Q27" s="43"/>
    </row>
    <row r="28" spans="2:17" ht="15.5" x14ac:dyDescent="0.35">
      <c r="B28" s="44" t="s">
        <v>74</v>
      </c>
      <c r="C28" s="42">
        <v>30</v>
      </c>
      <c r="D28" s="43" t="s">
        <v>29</v>
      </c>
      <c r="E28" s="42">
        <v>27.45</v>
      </c>
      <c r="F28" s="42">
        <v>32.700000000000003</v>
      </c>
      <c r="G28" s="49">
        <v>24.6</v>
      </c>
      <c r="H28" s="87">
        <v>30</v>
      </c>
      <c r="I28" s="49">
        <v>27.45</v>
      </c>
      <c r="K28" s="32"/>
      <c r="L28" s="42"/>
      <c r="M28" s="43"/>
      <c r="N28" s="42"/>
      <c r="O28" s="32">
        <v>5</v>
      </c>
      <c r="P28" s="32">
        <v>5</v>
      </c>
      <c r="Q28" s="43"/>
    </row>
    <row r="29" spans="2:17" ht="15.5" x14ac:dyDescent="0.35">
      <c r="B29" s="44" t="s">
        <v>75</v>
      </c>
      <c r="C29" s="42">
        <v>30</v>
      </c>
      <c r="D29" s="43" t="s">
        <v>29</v>
      </c>
      <c r="E29" s="42">
        <v>27.45</v>
      </c>
      <c r="F29" s="42">
        <v>32.700000000000003</v>
      </c>
      <c r="G29" s="49">
        <v>24.6</v>
      </c>
      <c r="H29" s="87">
        <v>30</v>
      </c>
      <c r="I29" s="49">
        <v>27.45</v>
      </c>
      <c r="K29" s="32"/>
      <c r="L29" s="42"/>
      <c r="M29" s="43"/>
      <c r="N29" s="42"/>
      <c r="O29" s="32">
        <v>7.5</v>
      </c>
      <c r="P29" s="32">
        <v>7.5</v>
      </c>
      <c r="Q29" s="43"/>
    </row>
    <row r="30" spans="2:17" ht="16.5" x14ac:dyDescent="0.35">
      <c r="B30" s="44" t="s">
        <v>76</v>
      </c>
      <c r="C30" s="42">
        <v>300</v>
      </c>
      <c r="D30" s="43" t="s">
        <v>32</v>
      </c>
      <c r="E30" s="42">
        <v>274.5</v>
      </c>
      <c r="F30" s="42">
        <v>327</v>
      </c>
      <c r="G30" s="49">
        <v>246</v>
      </c>
      <c r="H30" s="87">
        <v>300</v>
      </c>
      <c r="I30" s="49">
        <v>274.5</v>
      </c>
      <c r="K30" s="32"/>
      <c r="L30" s="42"/>
      <c r="M30" s="140">
        <f>'Uși de depozit frigorific'!C16*100/'Uși de depozit frigorific'!C17</f>
        <v>365.97353497164465</v>
      </c>
      <c r="N30" s="42"/>
      <c r="O30" s="32">
        <v>10</v>
      </c>
      <c r="P30" s="42"/>
      <c r="Q30" s="43"/>
    </row>
    <row r="31" spans="2:17" ht="16.5" x14ac:dyDescent="0.35">
      <c r="B31" s="45" t="s">
        <v>77</v>
      </c>
      <c r="C31" s="46">
        <v>300</v>
      </c>
      <c r="D31" s="47" t="s">
        <v>32</v>
      </c>
      <c r="E31" s="46">
        <v>274.5</v>
      </c>
      <c r="F31" s="46">
        <v>327</v>
      </c>
      <c r="G31" s="50">
        <v>246</v>
      </c>
      <c r="H31" s="90">
        <v>300</v>
      </c>
      <c r="I31" s="50">
        <v>274.5</v>
      </c>
      <c r="K31" s="32"/>
      <c r="L31" s="42"/>
      <c r="M31" s="43"/>
      <c r="N31" s="42"/>
    </row>
    <row r="32" spans="2:17" x14ac:dyDescent="0.35">
      <c r="M32" s="144">
        <f>'Uși de depozit frigorific'!C28*100/'Uși de depozit frigorific'!C29</f>
        <v>365.97353497164465</v>
      </c>
    </row>
    <row r="34" spans="2:13" x14ac:dyDescent="0.35">
      <c r="C34" s="94">
        <v>220</v>
      </c>
      <c r="D34" s="94">
        <v>230</v>
      </c>
      <c r="E34" s="94">
        <v>240</v>
      </c>
      <c r="G34" s="94">
        <v>220</v>
      </c>
      <c r="H34" s="94">
        <v>230</v>
      </c>
      <c r="I34" s="94">
        <v>240</v>
      </c>
      <c r="M34" t="s">
        <v>80</v>
      </c>
    </row>
    <row r="35" spans="2:13" ht="15.5" x14ac:dyDescent="0.35">
      <c r="B35" s="92" t="s">
        <v>93</v>
      </c>
      <c r="C35" s="146">
        <f>($G$34*$G$34)/(($H$34*$H$34)/D35)</f>
        <v>5.4896030245746692</v>
      </c>
      <c r="D35" s="52">
        <v>6</v>
      </c>
      <c r="E35" s="146">
        <f t="shared" ref="E35:E36" si="3">($I$34*$I$34)/(($H$34*$H$34)/D35)</f>
        <v>6.5330812854442346</v>
      </c>
      <c r="F35" s="95" t="s">
        <v>91</v>
      </c>
      <c r="G35" s="146">
        <f>($G$34*$G$34)/(($H$34*$H$34)/H35)</f>
        <v>16.46880907372401</v>
      </c>
      <c r="H35" s="52">
        <v>18</v>
      </c>
      <c r="I35" s="146">
        <f t="shared" ref="I35:I36" si="4">($I$34*$I$34)/(($H$34*$H$34)/H35)</f>
        <v>19.599243856332706</v>
      </c>
      <c r="M35" t="s">
        <v>88</v>
      </c>
    </row>
    <row r="36" spans="2:13" ht="15.5" x14ac:dyDescent="0.35">
      <c r="B36" s="95" t="s">
        <v>94</v>
      </c>
      <c r="C36" s="146">
        <f t="shared" ref="C36:C39" si="5">($G$34*$G$34)/(($H$34*$H$34)/D36)</f>
        <v>9.1493383742911156</v>
      </c>
      <c r="D36" s="52">
        <v>10</v>
      </c>
      <c r="E36" s="146">
        <f t="shared" si="3"/>
        <v>10.888468809073723</v>
      </c>
      <c r="F36" s="95" t="s">
        <v>85</v>
      </c>
      <c r="G36" s="146">
        <f t="shared" ref="G36:G39" si="6">($G$34*$G$34)/(($H$34*$H$34)/H36)</f>
        <v>18.298676748582231</v>
      </c>
      <c r="H36" s="52">
        <v>20</v>
      </c>
      <c r="I36" s="146">
        <f t="shared" si="4"/>
        <v>21.776937618147446</v>
      </c>
      <c r="M36" t="s">
        <v>89</v>
      </c>
    </row>
    <row r="37" spans="2:13" ht="15.5" x14ac:dyDescent="0.35">
      <c r="B37" s="95" t="s">
        <v>95</v>
      </c>
      <c r="C37" s="146">
        <f t="shared" si="5"/>
        <v>9.1493383742911156</v>
      </c>
      <c r="D37" s="52">
        <v>10</v>
      </c>
      <c r="E37" s="146">
        <f>($I$34*$I$34)/(($H$34*$H$34)/D37)</f>
        <v>10.888468809073723</v>
      </c>
      <c r="F37" s="95" t="s">
        <v>86</v>
      </c>
      <c r="G37" s="146">
        <f t="shared" si="6"/>
        <v>18.298676748582231</v>
      </c>
      <c r="H37" s="52">
        <v>20</v>
      </c>
      <c r="I37" s="146">
        <f>($I$34*$I$34)/(($H$34*$H$34)/H37)</f>
        <v>21.776937618147446</v>
      </c>
    </row>
    <row r="38" spans="2:13" ht="15.5" x14ac:dyDescent="0.35">
      <c r="B38" s="95" t="s">
        <v>96</v>
      </c>
      <c r="C38" s="146">
        <f t="shared" si="5"/>
        <v>16.46880907372401</v>
      </c>
      <c r="D38" s="52">
        <v>18</v>
      </c>
      <c r="E38" s="146">
        <f t="shared" ref="E38:E39" si="7">($I$34*$I$34)/(($H$34*$H$34)/D38)</f>
        <v>19.599243856332706</v>
      </c>
      <c r="F38" s="95" t="s">
        <v>87</v>
      </c>
      <c r="G38" s="146">
        <f t="shared" si="6"/>
        <v>27.448015122873347</v>
      </c>
      <c r="H38" s="52">
        <v>30</v>
      </c>
      <c r="I38" s="146">
        <f t="shared" ref="I38:I39" si="8">($I$34*$I$34)/(($H$34*$H$34)/H38)</f>
        <v>32.665406427221171</v>
      </c>
    </row>
    <row r="39" spans="2:13" x14ac:dyDescent="0.35">
      <c r="B39" s="52" t="s">
        <v>79</v>
      </c>
      <c r="C39" s="146">
        <f t="shared" si="5"/>
        <v>6.0385633270321355</v>
      </c>
      <c r="D39" s="52">
        <v>6.6</v>
      </c>
      <c r="E39" s="146">
        <f t="shared" si="7"/>
        <v>7.1863894139886568</v>
      </c>
      <c r="F39" s="139" t="s">
        <v>84</v>
      </c>
      <c r="G39" s="146">
        <f t="shared" si="6"/>
        <v>18.298676748582231</v>
      </c>
      <c r="H39" s="52">
        <v>20</v>
      </c>
      <c r="I39" s="146">
        <f t="shared" si="8"/>
        <v>21.776937618147446</v>
      </c>
    </row>
    <row r="40" spans="2:13" ht="15.5" x14ac:dyDescent="0.35">
      <c r="B40" s="150" t="s">
        <v>92</v>
      </c>
    </row>
    <row r="41" spans="2:13" x14ac:dyDescent="0.35">
      <c r="C41" s="94">
        <v>230</v>
      </c>
      <c r="D41" s="94">
        <v>220</v>
      </c>
      <c r="E41" s="94">
        <v>240</v>
      </c>
      <c r="F41" s="94">
        <v>400</v>
      </c>
      <c r="G41" s="94">
        <v>380</v>
      </c>
      <c r="H41" s="151">
        <v>460</v>
      </c>
    </row>
    <row r="42" spans="2:13" ht="15.5" x14ac:dyDescent="0.35">
      <c r="B42" s="152" t="s">
        <v>93</v>
      </c>
      <c r="C42">
        <v>6</v>
      </c>
      <c r="D42" s="155">
        <f>($D$41*$D$41)/(($C$41*$C$41)/C42)</f>
        <v>5.4896030245746692</v>
      </c>
      <c r="E42" s="155">
        <f>($E$41*$E$41)/(($C$41*$C$41)/C42)</f>
        <v>6.5330812854442346</v>
      </c>
      <c r="F42" t="s">
        <v>97</v>
      </c>
      <c r="G42" t="s">
        <v>97</v>
      </c>
      <c r="H42" t="s">
        <v>97</v>
      </c>
    </row>
    <row r="43" spans="2:13" ht="15.5" x14ac:dyDescent="0.35">
      <c r="B43" s="153" t="s">
        <v>95</v>
      </c>
      <c r="C43">
        <v>10</v>
      </c>
      <c r="D43" s="155">
        <f t="shared" ref="D43:D45" si="9">($D$41*$D$41)/(($C$41*$C$41)/C43)</f>
        <v>9.1493383742911156</v>
      </c>
      <c r="E43" s="155">
        <f t="shared" ref="E43:E45" si="10">($E$41*$E$41)/(($C$41*$C$41)/C43)</f>
        <v>10.888468809073723</v>
      </c>
      <c r="F43" t="s">
        <v>97</v>
      </c>
      <c r="G43" t="s">
        <v>97</v>
      </c>
      <c r="H43" t="s">
        <v>97</v>
      </c>
    </row>
    <row r="44" spans="2:13" ht="15.5" x14ac:dyDescent="0.35">
      <c r="B44" s="153" t="s">
        <v>96</v>
      </c>
      <c r="C44">
        <v>18</v>
      </c>
      <c r="D44" s="155">
        <f t="shared" si="9"/>
        <v>16.46880907372401</v>
      </c>
      <c r="E44" s="155">
        <f t="shared" si="10"/>
        <v>19.599243856332706</v>
      </c>
      <c r="F44" t="s">
        <v>97</v>
      </c>
      <c r="G44" t="s">
        <v>97</v>
      </c>
      <c r="H44" t="s">
        <v>97</v>
      </c>
    </row>
    <row r="45" spans="2:13" ht="15.5" x14ac:dyDescent="0.35">
      <c r="B45" s="153" t="s">
        <v>94</v>
      </c>
      <c r="C45">
        <v>10</v>
      </c>
      <c r="D45" s="155">
        <f t="shared" si="9"/>
        <v>9.1493383742911156</v>
      </c>
      <c r="E45" s="155">
        <f t="shared" si="10"/>
        <v>10.888468809073723</v>
      </c>
      <c r="F45" t="s">
        <v>97</v>
      </c>
      <c r="G45" t="s">
        <v>97</v>
      </c>
      <c r="H45" t="s">
        <v>97</v>
      </c>
    </row>
    <row r="46" spans="2:13" ht="15.5" x14ac:dyDescent="0.35">
      <c r="B46" s="156" t="s">
        <v>79</v>
      </c>
      <c r="C46" s="155">
        <f>($C$41*$C$41)/(($F$41*$F$41)/F46)</f>
        <v>6.6124999999999998</v>
      </c>
      <c r="D46" s="155">
        <f>($D$41*$D$41)/(($F$41*$F$41)/F46)</f>
        <v>6.05</v>
      </c>
      <c r="E46" s="155">
        <f>($E$41*$E$41)/(($F$41*$F$41)/F46)</f>
        <v>7.2</v>
      </c>
      <c r="F46">
        <v>20</v>
      </c>
      <c r="G46" s="155">
        <f>($G$41*$G$41)/(($F$41*$F$41)/F46)</f>
        <v>18.05</v>
      </c>
      <c r="H46" s="155">
        <f>($H$41*$H$41)/(($F$41*$F$41)/F46)</f>
        <v>26.45</v>
      </c>
    </row>
    <row r="47" spans="2:13" ht="15.5" x14ac:dyDescent="0.35">
      <c r="B47" s="154" t="s">
        <v>92</v>
      </c>
      <c r="C47" t="s">
        <v>97</v>
      </c>
      <c r="D47" t="s">
        <v>97</v>
      </c>
      <c r="E47" t="s">
        <v>97</v>
      </c>
      <c r="F47">
        <v>7.5</v>
      </c>
      <c r="G47" s="155">
        <f>($G$41*$G$41)/(($F$41*$F$41)/F47)</f>
        <v>6.7687500000000007</v>
      </c>
      <c r="H47" s="155">
        <f>($H$41*$H$41)/(($F$41*$F$41)/F47)</f>
        <v>9.9187500000000011</v>
      </c>
    </row>
  </sheetData>
  <mergeCells count="22">
    <mergeCell ref="K19:M19"/>
    <mergeCell ref="O19:Q19"/>
    <mergeCell ref="W8:AB8"/>
    <mergeCell ref="W9:AB9"/>
    <mergeCell ref="W10:W11"/>
    <mergeCell ref="W12:X12"/>
    <mergeCell ref="I8:N8"/>
    <mergeCell ref="I9:N9"/>
    <mergeCell ref="I10:I11"/>
    <mergeCell ref="I12:J12"/>
    <mergeCell ref="P8:U8"/>
    <mergeCell ref="P9:U9"/>
    <mergeCell ref="P10:P11"/>
    <mergeCell ref="P12:Q12"/>
    <mergeCell ref="B12:C12"/>
    <mergeCell ref="B2:D2"/>
    <mergeCell ref="B8:G8"/>
    <mergeCell ref="B3:D3"/>
    <mergeCell ref="B9:G9"/>
    <mergeCell ref="B10:B11"/>
    <mergeCell ref="C4:D4"/>
    <mergeCell ref="C5:D5"/>
  </mergeCells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workbookViewId="0">
      <selection activeCell="B12" sqref="B12"/>
    </sheetView>
  </sheetViews>
  <sheetFormatPr defaultRowHeight="14.5" x14ac:dyDescent="0.35"/>
  <cols>
    <col min="2" max="2" width="11.90625" customWidth="1"/>
    <col min="3" max="3" width="11" customWidth="1"/>
    <col min="4" max="4" width="11.453125" customWidth="1"/>
    <col min="5" max="5" width="12.54296875" customWidth="1"/>
  </cols>
  <sheetData>
    <row r="1" spans="1:20" x14ac:dyDescent="0.3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3" spans="1:20" x14ac:dyDescent="0.35">
      <c r="A3" t="str">
        <f>B3&amp;C3</f>
        <v>23018</v>
      </c>
      <c r="B3" s="53">
        <v>230</v>
      </c>
      <c r="C3" s="54">
        <v>18</v>
      </c>
      <c r="D3" s="55">
        <v>360</v>
      </c>
      <c r="E3" s="55">
        <v>240</v>
      </c>
      <c r="F3" s="55"/>
      <c r="G3" s="56"/>
      <c r="H3" s="36" t="s">
        <v>52</v>
      </c>
    </row>
    <row r="4" spans="1:20" x14ac:dyDescent="0.35">
      <c r="A4" t="str">
        <f t="shared" ref="A4:A26" si="0">B4&amp;C4</f>
        <v>23020</v>
      </c>
      <c r="B4" s="57">
        <v>230</v>
      </c>
      <c r="C4" s="58">
        <v>20</v>
      </c>
      <c r="D4" s="59">
        <v>400</v>
      </c>
      <c r="E4" s="59">
        <v>266.66666666666669</v>
      </c>
      <c r="F4" s="59"/>
      <c r="G4" s="60"/>
      <c r="H4" s="36" t="s">
        <v>53</v>
      </c>
    </row>
    <row r="5" spans="1:20" x14ac:dyDescent="0.35">
      <c r="A5" t="str">
        <f t="shared" si="0"/>
        <v>23030</v>
      </c>
      <c r="B5" s="57">
        <v>230</v>
      </c>
      <c r="C5" s="58">
        <v>30</v>
      </c>
      <c r="D5" s="59">
        <v>600</v>
      </c>
      <c r="E5" s="59">
        <v>400</v>
      </c>
      <c r="F5" s="59">
        <v>300</v>
      </c>
      <c r="G5" s="60">
        <v>240</v>
      </c>
      <c r="H5" s="36" t="s">
        <v>54</v>
      </c>
    </row>
    <row r="6" spans="1:20" x14ac:dyDescent="0.35">
      <c r="A6" t="str">
        <f t="shared" si="0"/>
        <v>230300</v>
      </c>
      <c r="B6" s="61">
        <v>230</v>
      </c>
      <c r="C6" s="62">
        <v>300</v>
      </c>
      <c r="D6" s="63"/>
      <c r="E6" s="63"/>
      <c r="F6" s="63">
        <v>300</v>
      </c>
      <c r="G6" s="64"/>
      <c r="H6" s="36" t="s">
        <v>55</v>
      </c>
    </row>
    <row r="7" spans="1:20" x14ac:dyDescent="0.35">
      <c r="A7" t="str">
        <f t="shared" si="0"/>
        <v>22016,47</v>
      </c>
      <c r="B7" s="53">
        <v>220</v>
      </c>
      <c r="C7" s="65">
        <v>16.47</v>
      </c>
      <c r="D7" s="66">
        <v>329.40000000000003</v>
      </c>
      <c r="E7" s="66">
        <v>219.60000000000002</v>
      </c>
      <c r="F7" s="66"/>
      <c r="G7" s="67"/>
      <c r="H7" s="36" t="s">
        <v>69</v>
      </c>
    </row>
    <row r="8" spans="1:20" x14ac:dyDescent="0.35">
      <c r="A8" t="str">
        <f t="shared" si="0"/>
        <v>22018,3</v>
      </c>
      <c r="B8" s="57">
        <v>220</v>
      </c>
      <c r="C8" s="68">
        <v>18.3</v>
      </c>
      <c r="D8" s="69">
        <v>366</v>
      </c>
      <c r="E8" s="69">
        <v>244.00000000000003</v>
      </c>
      <c r="F8" s="69"/>
      <c r="G8" s="70"/>
      <c r="H8" s="36" t="s">
        <v>56</v>
      </c>
    </row>
    <row r="9" spans="1:20" x14ac:dyDescent="0.35">
      <c r="A9" t="str">
        <f t="shared" si="0"/>
        <v>22027,45</v>
      </c>
      <c r="B9" s="57">
        <v>220</v>
      </c>
      <c r="C9" s="68">
        <v>27.45</v>
      </c>
      <c r="D9" s="69">
        <v>549</v>
      </c>
      <c r="E9" s="69">
        <v>366</v>
      </c>
      <c r="F9" s="69">
        <v>274.5</v>
      </c>
      <c r="G9" s="70">
        <v>219.60000000000002</v>
      </c>
      <c r="H9" s="36" t="s">
        <v>57</v>
      </c>
    </row>
    <row r="10" spans="1:20" x14ac:dyDescent="0.35">
      <c r="A10" t="str">
        <f t="shared" si="0"/>
        <v>220274,5</v>
      </c>
      <c r="B10" s="61">
        <v>220</v>
      </c>
      <c r="C10" s="71">
        <v>274.5</v>
      </c>
      <c r="D10" s="72"/>
      <c r="E10" s="72"/>
      <c r="F10" s="72">
        <v>274.5</v>
      </c>
      <c r="G10" s="73"/>
      <c r="H10" s="36" t="s">
        <v>58</v>
      </c>
    </row>
    <row r="11" spans="1:20" x14ac:dyDescent="0.35">
      <c r="A11" t="str">
        <f t="shared" si="0"/>
        <v>24019,62</v>
      </c>
      <c r="B11" s="53">
        <v>240</v>
      </c>
      <c r="C11" s="54">
        <v>19.62</v>
      </c>
      <c r="D11" s="66">
        <v>392.40000000000003</v>
      </c>
      <c r="E11" s="66">
        <v>261.60000000000002</v>
      </c>
      <c r="F11" s="66"/>
      <c r="G11" s="67"/>
      <c r="H11" s="36" t="s">
        <v>59</v>
      </c>
    </row>
    <row r="12" spans="1:20" x14ac:dyDescent="0.35">
      <c r="A12" t="str">
        <f t="shared" si="0"/>
        <v>24021,08</v>
      </c>
      <c r="B12" s="57">
        <v>240</v>
      </c>
      <c r="C12" s="58">
        <v>21.08</v>
      </c>
      <c r="D12" s="69">
        <v>436.00000000000006</v>
      </c>
      <c r="E12" s="69">
        <v>290.66666666666669</v>
      </c>
      <c r="F12" s="69"/>
      <c r="G12" s="70"/>
      <c r="H12" s="36" t="s">
        <v>60</v>
      </c>
    </row>
    <row r="13" spans="1:20" x14ac:dyDescent="0.35">
      <c r="A13" t="str">
        <f t="shared" si="0"/>
        <v>24032,7</v>
      </c>
      <c r="B13" s="57">
        <v>240</v>
      </c>
      <c r="C13" s="58">
        <v>32.700000000000003</v>
      </c>
      <c r="D13" s="69">
        <v>654</v>
      </c>
      <c r="E13" s="69">
        <v>436.00000000000006</v>
      </c>
      <c r="F13" s="69">
        <v>327</v>
      </c>
      <c r="G13" s="70">
        <v>261.60000000000002</v>
      </c>
      <c r="H13" s="36" t="s">
        <v>61</v>
      </c>
    </row>
    <row r="14" spans="1:20" x14ac:dyDescent="0.35">
      <c r="A14" t="str">
        <f t="shared" si="0"/>
        <v>240327</v>
      </c>
      <c r="B14" s="61">
        <v>240</v>
      </c>
      <c r="C14" s="62">
        <v>327</v>
      </c>
      <c r="D14" s="72"/>
      <c r="E14" s="72"/>
      <c r="F14" s="72">
        <v>327</v>
      </c>
      <c r="G14" s="73"/>
      <c r="H14" s="36" t="s">
        <v>62</v>
      </c>
    </row>
    <row r="15" spans="1:20" x14ac:dyDescent="0.35">
      <c r="A15" t="str">
        <f t="shared" si="0"/>
        <v>20814,76</v>
      </c>
      <c r="B15" s="53">
        <v>208</v>
      </c>
      <c r="C15" s="65">
        <v>14.76</v>
      </c>
      <c r="D15" s="66">
        <v>295.2</v>
      </c>
      <c r="E15" s="66">
        <v>196.79999999999998</v>
      </c>
      <c r="F15" s="66"/>
      <c r="G15" s="67"/>
      <c r="H15" s="36" t="s">
        <v>63</v>
      </c>
    </row>
    <row r="16" spans="1:20" x14ac:dyDescent="0.35">
      <c r="A16" t="str">
        <f t="shared" si="0"/>
        <v>20816,4</v>
      </c>
      <c r="B16" s="57">
        <v>208</v>
      </c>
      <c r="C16" s="68">
        <v>16.399999999999999</v>
      </c>
      <c r="D16" s="69">
        <v>328</v>
      </c>
      <c r="E16" s="69">
        <v>218.66666666666666</v>
      </c>
      <c r="F16" s="69"/>
      <c r="G16" s="70"/>
      <c r="H16" s="36" t="s">
        <v>64</v>
      </c>
    </row>
    <row r="17" spans="1:8" x14ac:dyDescent="0.35">
      <c r="A17" t="str">
        <f t="shared" si="0"/>
        <v>20824,6</v>
      </c>
      <c r="B17" s="57">
        <v>208</v>
      </c>
      <c r="C17" s="68">
        <v>24.6</v>
      </c>
      <c r="D17" s="69">
        <v>491.99999999999994</v>
      </c>
      <c r="E17" s="69">
        <v>328</v>
      </c>
      <c r="F17" s="69">
        <v>245.99999999999997</v>
      </c>
      <c r="G17" s="70">
        <v>196.79999999999998</v>
      </c>
      <c r="H17" s="36" t="s">
        <v>65</v>
      </c>
    </row>
    <row r="18" spans="1:8" x14ac:dyDescent="0.35">
      <c r="A18" t="str">
        <f t="shared" si="0"/>
        <v>208246</v>
      </c>
      <c r="B18" s="57">
        <v>208</v>
      </c>
      <c r="C18" s="71">
        <v>246</v>
      </c>
      <c r="D18" s="72"/>
      <c r="E18" s="72"/>
      <c r="F18" s="72">
        <v>245.99999999999997</v>
      </c>
      <c r="G18" s="73"/>
      <c r="H18" s="36" t="s">
        <v>66</v>
      </c>
    </row>
    <row r="19" spans="1:8" x14ac:dyDescent="0.35">
      <c r="A19" t="str">
        <f>B19&amp;C19</f>
        <v>40018</v>
      </c>
      <c r="B19" s="82">
        <v>400</v>
      </c>
      <c r="C19" s="54">
        <v>18</v>
      </c>
      <c r="D19" s="55">
        <v>360</v>
      </c>
      <c r="E19" s="55">
        <v>240</v>
      </c>
      <c r="F19" s="55"/>
      <c r="G19" s="56"/>
      <c r="H19" s="36" t="s">
        <v>52</v>
      </c>
    </row>
    <row r="20" spans="1:8" x14ac:dyDescent="0.35">
      <c r="A20" t="str">
        <f t="shared" si="0"/>
        <v>40020</v>
      </c>
      <c r="B20" s="83">
        <v>400</v>
      </c>
      <c r="C20" s="58">
        <v>20</v>
      </c>
      <c r="D20" s="59">
        <v>400</v>
      </c>
      <c r="E20" s="59">
        <v>266.66666666666669</v>
      </c>
      <c r="F20" s="59"/>
      <c r="G20" s="60"/>
      <c r="H20" s="36" t="s">
        <v>53</v>
      </c>
    </row>
    <row r="21" spans="1:8" x14ac:dyDescent="0.35">
      <c r="A21" t="str">
        <f t="shared" si="0"/>
        <v>40030</v>
      </c>
      <c r="B21" s="83">
        <v>400</v>
      </c>
      <c r="C21" s="58">
        <v>30</v>
      </c>
      <c r="D21" s="59">
        <v>600</v>
      </c>
      <c r="E21" s="59">
        <v>400</v>
      </c>
      <c r="F21" s="59">
        <v>300</v>
      </c>
      <c r="G21" s="60">
        <v>240</v>
      </c>
      <c r="H21" s="36" t="s">
        <v>54</v>
      </c>
    </row>
    <row r="22" spans="1:8" x14ac:dyDescent="0.35">
      <c r="A22" t="str">
        <f t="shared" si="0"/>
        <v>400300</v>
      </c>
      <c r="B22" s="84">
        <v>400</v>
      </c>
      <c r="C22" s="62">
        <v>300</v>
      </c>
      <c r="D22" s="63"/>
      <c r="E22" s="63"/>
      <c r="F22" s="63">
        <v>300</v>
      </c>
      <c r="G22" s="64"/>
      <c r="H22" s="36" t="s">
        <v>55</v>
      </c>
    </row>
    <row r="23" spans="1:8" x14ac:dyDescent="0.35">
      <c r="A23" t="str">
        <f t="shared" si="0"/>
        <v>38016,47</v>
      </c>
      <c r="B23" s="80">
        <v>380</v>
      </c>
      <c r="C23" s="65">
        <v>16.47</v>
      </c>
      <c r="D23" s="66">
        <v>329.40000000000003</v>
      </c>
      <c r="E23" s="66">
        <v>219.60000000000002</v>
      </c>
      <c r="F23" s="66"/>
      <c r="G23" s="67"/>
      <c r="H23" s="36" t="s">
        <v>69</v>
      </c>
    </row>
    <row r="24" spans="1:8" x14ac:dyDescent="0.35">
      <c r="A24" t="str">
        <f t="shared" si="0"/>
        <v>38018,3</v>
      </c>
      <c r="B24" s="80">
        <v>380</v>
      </c>
      <c r="C24" s="68">
        <v>18.3</v>
      </c>
      <c r="D24" s="69">
        <v>366</v>
      </c>
      <c r="E24" s="69">
        <v>244.00000000000003</v>
      </c>
      <c r="F24" s="69"/>
      <c r="G24" s="70"/>
      <c r="H24" s="36" t="s">
        <v>56</v>
      </c>
    </row>
    <row r="25" spans="1:8" x14ac:dyDescent="0.35">
      <c r="A25" t="str">
        <f t="shared" si="0"/>
        <v>38027,45</v>
      </c>
      <c r="B25" s="80">
        <v>380</v>
      </c>
      <c r="C25" s="68">
        <v>27.45</v>
      </c>
      <c r="D25" s="69">
        <v>549</v>
      </c>
      <c r="E25" s="69">
        <v>366</v>
      </c>
      <c r="F25" s="69">
        <v>274.5</v>
      </c>
      <c r="G25" s="70">
        <v>219.60000000000002</v>
      </c>
      <c r="H25" s="36" t="s">
        <v>57</v>
      </c>
    </row>
    <row r="26" spans="1:8" x14ac:dyDescent="0.35">
      <c r="A26" t="str">
        <f t="shared" si="0"/>
        <v>380274,5</v>
      </c>
      <c r="B26" s="81">
        <v>380</v>
      </c>
      <c r="C26" s="71">
        <v>274.5</v>
      </c>
      <c r="D26" s="72"/>
      <c r="E26" s="72"/>
      <c r="F26" s="72">
        <v>274.5</v>
      </c>
      <c r="G26" s="73"/>
      <c r="H26" s="36" t="s">
        <v>58</v>
      </c>
    </row>
  </sheetData>
  <sheetProtection password="CC71" sheet="1" objects="1" scenarios="1"/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Fundație depozit frigorific</vt:lpstr>
      <vt:lpstr>Uși de depozit frigorific</vt:lpstr>
      <vt:lpstr>Sheet2</vt:lpstr>
      <vt:lpstr>Sheet3</vt:lpstr>
      <vt:lpstr>_14_76_W</vt:lpstr>
      <vt:lpstr>_16_4_W</vt:lpstr>
      <vt:lpstr>_16_47_W</vt:lpstr>
      <vt:lpstr>_18_3_W</vt:lpstr>
      <vt:lpstr>_18_W</vt:lpstr>
      <vt:lpstr>_19_62_W</vt:lpstr>
      <vt:lpstr>_20_W</vt:lpstr>
      <vt:lpstr>_21_08_W</vt:lpstr>
      <vt:lpstr>_24_6_W</vt:lpstr>
      <vt:lpstr>_246_W</vt:lpstr>
      <vt:lpstr>_27_45_W</vt:lpstr>
      <vt:lpstr>_274_5_W</vt:lpstr>
      <vt:lpstr>_30_W</vt:lpstr>
      <vt:lpstr>_300_W</vt:lpstr>
      <vt:lpstr>_32_7_W</vt:lpstr>
      <vt:lpstr>_327_W</vt:lpstr>
      <vt:lpstr>Heating_elements</vt:lpstr>
      <vt:lpstr>Insulation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2020-03-05T12:53:29Z</vt:lpwstr>
  </property>
  <property fmtid="{D5CDD505-2E9C-101B-9397-08002B2CF9AE}" pid="4" name="MSIP_Label_8d6a82de-332f-43b8-a8a7-1928fd67507f_Method">
    <vt:lpwstr>Standard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032a2742-2873-4c90-8724-0000d95cf86a</vt:lpwstr>
  </property>
  <property fmtid="{D5CDD505-2E9C-101B-9397-08002B2CF9AE}" pid="8" name="MSIP_Label_8d6a82de-332f-43b8-a8a7-1928fd67507f_ContentBits">
    <vt:lpwstr>2</vt:lpwstr>
  </property>
  <property fmtid="{D5CDD505-2E9C-101B-9397-08002B2CF9AE}" pid="9" name="BExAnalyzer_OldName">
    <vt:lpwstr>Aplicatii pentru depozite frigorifice v1.3 (DEVI).xlsx</vt:lpwstr>
  </property>
</Properties>
</file>