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F5602D12-998A-4120-95B8-20CA471CA736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Instalare linie dreaptă" sheetId="1" r:id="rId1"/>
    <sheet name="Instalare in spirala" sheetId="5" r:id="rId2"/>
    <sheet name="Sheet2" sheetId="2" state="hidden" r:id="rId3"/>
    <sheet name="Sheet3" sheetId="3" state="hidden" r:id="rId4"/>
    <sheet name="Sheet4" sheetId="4" state="hidden" r:id="rId5"/>
  </sheets>
  <definedNames>
    <definedName name="Insulation">Sheet2!#REF!</definedName>
    <definedName name="Lines">OFFSET(Sheet4!$B$1,1,0,COUNTA(Sheet4!$B:$B),1)</definedName>
    <definedName name="Pipe_Diameter">Sheet2!#REF!</definedName>
    <definedName name="Plastic1">Sheet3!$J$16:$J$20</definedName>
    <definedName name="Resistive">Sheet3!$B$16:$B$22</definedName>
    <definedName name="Self">Sheet3!$F$16:$F$24</definedName>
    <definedName name="Выбор" localSheetId="1">'Instalare in spirala'!$C$25</definedName>
    <definedName name="Выбор">'Instalare linie dreaptă'!$C$24</definedName>
    <definedName name="Лого" localSheetId="1">INDEX(Sheet4!$C$2:$C$6,MATCH('Instalare in spirala'!$C$25,Sheet4!$B$2:$B$6,0))</definedName>
    <definedName name="Лого">INDEX(Sheet4!$C$2:$C$6,MATCH('Instalare linie dreaptă'!$C$24,Sheet4!$B$2:$B$6,0))</definedName>
    <definedName name="Фото" localSheetId="1">OFFSET(Sheet4!$C$2,MATCH('Instalare in spirala'!Выбор,[0]!Lines,0)-1,0,1,1)</definedName>
    <definedName name="Фото">OFFSET(Sheet4!$C$2,MATCH(Выбор,Lines,0)-1,0,1,1)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5" l="1"/>
  <c r="C23" i="1"/>
  <c r="G18" i="3" l="1"/>
  <c r="C20" i="5" l="1"/>
  <c r="D23" i="5"/>
  <c r="G19" i="3" l="1"/>
  <c r="G17" i="3"/>
  <c r="G24" i="3" l="1"/>
  <c r="G23" i="3"/>
  <c r="G22" i="3"/>
  <c r="G21" i="3"/>
  <c r="G16" i="3"/>
  <c r="G30" i="3" s="1"/>
  <c r="G20" i="3"/>
  <c r="D23" i="1" l="1"/>
  <c r="K45" i="3" l="1"/>
  <c r="K46" i="3"/>
  <c r="K47" i="3"/>
  <c r="K48" i="3"/>
  <c r="K44" i="3"/>
  <c r="G45" i="3"/>
  <c r="G46" i="3"/>
  <c r="G47" i="3"/>
  <c r="G48" i="3"/>
  <c r="G49" i="3"/>
  <c r="G50" i="3"/>
  <c r="G51" i="3"/>
  <c r="G52" i="3"/>
  <c r="G44" i="3"/>
  <c r="C45" i="3"/>
  <c r="C46" i="3"/>
  <c r="C47" i="3"/>
  <c r="C48" i="3"/>
  <c r="C49" i="3"/>
  <c r="C50" i="3"/>
  <c r="C44" i="3"/>
  <c r="K31" i="3"/>
  <c r="K32" i="3"/>
  <c r="K33" i="3"/>
  <c r="K34" i="3"/>
  <c r="K30" i="3"/>
  <c r="G31" i="3"/>
  <c r="G32" i="3"/>
  <c r="G33" i="3"/>
  <c r="G34" i="3"/>
  <c r="G35" i="3"/>
  <c r="G36" i="3"/>
  <c r="G37" i="3"/>
  <c r="G38" i="3"/>
  <c r="C31" i="3"/>
  <c r="C32" i="3"/>
  <c r="C33" i="3"/>
  <c r="C34" i="3"/>
  <c r="C35" i="3"/>
  <c r="C36" i="3"/>
  <c r="C30" i="3"/>
  <c r="C24" i="5" l="1"/>
  <c r="C25" i="5" s="1"/>
  <c r="R2" i="5"/>
  <c r="W15" i="2"/>
  <c r="C28" i="5" l="1"/>
  <c r="C30" i="5" l="1"/>
  <c r="C29" i="5"/>
  <c r="C20" i="1"/>
  <c r="R2" i="1" s="1"/>
  <c r="C24" i="1" s="1"/>
  <c r="C26" i="1" s="1"/>
  <c r="C28" i="1" s="1"/>
  <c r="C27" i="1" l="1"/>
</calcChain>
</file>

<file path=xl/sharedStrings.xml><?xml version="1.0" encoding="utf-8"?>
<sst xmlns="http://schemas.openxmlformats.org/spreadsheetml/2006/main" count="293" uniqueCount="129">
  <si>
    <t>mm</t>
  </si>
  <si>
    <t>W/m</t>
  </si>
  <si>
    <r>
      <t>W/(m</t>
    </r>
    <r>
      <rPr>
        <sz val="12"/>
        <color theme="1"/>
        <rFont val="Myriad Pro"/>
        <family val="2"/>
      </rPr>
      <t>·°</t>
    </r>
    <r>
      <rPr>
        <sz val="12"/>
        <color theme="1"/>
        <rFont val="Calibri"/>
        <family val="2"/>
        <scheme val="minor"/>
      </rPr>
      <t>C)</t>
    </r>
  </si>
  <si>
    <r>
      <rPr>
        <sz val="12"/>
        <color theme="1"/>
        <rFont val="Myriad Pro"/>
        <family val="2"/>
      </rPr>
      <t>°</t>
    </r>
    <r>
      <rPr>
        <sz val="12"/>
        <color theme="1"/>
        <rFont val="Calibri"/>
        <family val="2"/>
        <scheme val="minor"/>
      </rPr>
      <t>C</t>
    </r>
  </si>
  <si>
    <t>Table 1</t>
  </si>
  <si>
    <t>Pipe diameters</t>
  </si>
  <si>
    <t>Inside pipe diameter</t>
  </si>
  <si>
    <t>mm (DN*)</t>
  </si>
  <si>
    <t>inch (NPS*)</t>
  </si>
  <si>
    <t>1/2</t>
  </si>
  <si>
    <t>3/4</t>
  </si>
  <si>
    <t>1</t>
  </si>
  <si>
    <t>1 1/2</t>
  </si>
  <si>
    <t>2</t>
  </si>
  <si>
    <t>2 1/2</t>
  </si>
  <si>
    <t>3</t>
  </si>
  <si>
    <t>3 1/2</t>
  </si>
  <si>
    <t>4</t>
  </si>
  <si>
    <t>4 1/2</t>
  </si>
  <si>
    <t>5</t>
  </si>
  <si>
    <t>6</t>
  </si>
  <si>
    <t>Output of heating cables at 230/400 V</t>
  </si>
  <si>
    <t>Factory
manufacturer</t>
  </si>
  <si>
    <t>DEVI</t>
  </si>
  <si>
    <t>Table 2</t>
  </si>
  <si>
    <r>
      <t>DEVIflex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6T</t>
    </r>
  </si>
  <si>
    <r>
      <t>DEVIflex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10T, DEVIbasic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10S, DEVIcomfort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10T</t>
    </r>
  </si>
  <si>
    <r>
      <t>DEVIflex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18T</t>
    </r>
  </si>
  <si>
    <r>
      <t>DEVIaqua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9T</t>
    </r>
  </si>
  <si>
    <r>
      <t>DEVIflex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20T, DEVIbasic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20S</t>
    </r>
  </si>
  <si>
    <r>
      <t>DEVIpipeguard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10, DEVIpipeheat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10</t>
    </r>
  </si>
  <si>
    <r>
      <t>DEVIpipeguard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25</t>
    </r>
  </si>
  <si>
    <r>
      <t>DEVIpipeguard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33</t>
    </r>
  </si>
  <si>
    <r>
      <t>DEVIhotwatt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45</t>
    </r>
  </si>
  <si>
    <r>
      <t>DEVIhotwatt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55</t>
    </r>
  </si>
  <si>
    <r>
      <t>DEVIhotwatt</t>
    </r>
    <r>
      <rPr>
        <vertAlign val="superscript"/>
        <sz val="9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scheme val="minor"/>
      </rPr>
      <t xml:space="preserve"> 70</t>
    </r>
  </si>
  <si>
    <r>
      <rPr>
        <b/>
        <sz val="12"/>
        <color theme="1"/>
        <rFont val="Calibri"/>
        <family val="2"/>
        <charset val="204"/>
        <scheme val="minor"/>
      </rPr>
      <t>Note.</t>
    </r>
    <r>
      <rPr>
        <sz val="12"/>
        <color theme="1"/>
        <rFont val="Calibri"/>
        <family val="2"/>
        <charset val="204"/>
        <scheme val="minor"/>
      </rPr>
      <t xml:space="preserve"> If a voltage of 220 V, use the coefficient 0,915 for cable output</t>
    </r>
  </si>
  <si>
    <t>* NPS - Nominal Pipe Size, DN - Diameter Nominal</t>
  </si>
  <si>
    <t>Outside pipe diameter**, mm</t>
  </si>
  <si>
    <t>** Approx. value for steel pipes</t>
  </si>
  <si>
    <t>W/m (@ 10 °C)</t>
  </si>
  <si>
    <t>W/m (@ 45 °C)</t>
  </si>
  <si>
    <t>W/m (@ 55 °C)</t>
  </si>
  <si>
    <t>W/m (@ 70 °C)</t>
  </si>
  <si>
    <t>m</t>
  </si>
  <si>
    <t>Metal</t>
  </si>
  <si>
    <t>Plastic</t>
  </si>
  <si>
    <t>W</t>
  </si>
  <si>
    <t>DEVIreg Therm Control (for DHW)</t>
  </si>
  <si>
    <t>6 W/m</t>
  </si>
  <si>
    <r>
      <t xml:space="preserve">10 W/m @ 10 </t>
    </r>
    <r>
      <rPr>
        <b/>
        <sz val="12"/>
        <color theme="1"/>
        <rFont val="Myriad Pro"/>
        <family val="2"/>
      </rPr>
      <t>°</t>
    </r>
    <r>
      <rPr>
        <b/>
        <sz val="12"/>
        <color theme="1"/>
        <rFont val="Calibri"/>
        <family val="2"/>
      </rPr>
      <t>C</t>
    </r>
  </si>
  <si>
    <t>V</t>
  </si>
  <si>
    <r>
      <t>DEVIflex</t>
    </r>
    <r>
      <rPr>
        <sz val="11"/>
        <color theme="1"/>
        <rFont val="Calibri"/>
        <family val="2"/>
        <scheme val="minor"/>
      </rPr>
      <t xml:space="preserve"> 6T</t>
    </r>
  </si>
  <si>
    <r>
      <t>DEVIflex</t>
    </r>
    <r>
      <rPr>
        <sz val="11"/>
        <color theme="1"/>
        <rFont val="Calibri"/>
        <family val="2"/>
        <scheme val="minor"/>
      </rPr>
      <t xml:space="preserve"> 10T</t>
    </r>
  </si>
  <si>
    <t>DEVIbasic 10S</t>
  </si>
  <si>
    <t>DEVIcomfort 10T</t>
  </si>
  <si>
    <r>
      <t>DEVIflex</t>
    </r>
    <r>
      <rPr>
        <sz val="11"/>
        <color theme="1"/>
        <rFont val="Calibri"/>
        <family val="2"/>
        <scheme val="minor"/>
      </rPr>
      <t xml:space="preserve"> 18T</t>
    </r>
  </si>
  <si>
    <t>DEVIflex 20T</t>
  </si>
  <si>
    <r>
      <t>DEVIaqua</t>
    </r>
    <r>
      <rPr>
        <sz val="11"/>
        <color theme="1"/>
        <rFont val="Calibri"/>
        <family val="2"/>
        <scheme val="minor"/>
      </rPr>
      <t xml:space="preserve"> 9T</t>
    </r>
  </si>
  <si>
    <r>
      <t>DEVIhotwatt</t>
    </r>
    <r>
      <rPr>
        <sz val="11"/>
        <color theme="1"/>
        <rFont val="Calibri"/>
        <family val="2"/>
        <scheme val="minor"/>
      </rPr>
      <t xml:space="preserve"> 45</t>
    </r>
  </si>
  <si>
    <r>
      <t>DEVIhotwatt</t>
    </r>
    <r>
      <rPr>
        <sz val="11"/>
        <color theme="1"/>
        <rFont val="Calibri"/>
        <family val="2"/>
        <scheme val="minor"/>
      </rPr>
      <t xml:space="preserve"> 70</t>
    </r>
  </si>
  <si>
    <t>U</t>
  </si>
  <si>
    <t>Resistive heating cable</t>
  </si>
  <si>
    <t>10 W/m</t>
  </si>
  <si>
    <t>18 W/m</t>
  </si>
  <si>
    <t>20 W/m</t>
  </si>
  <si>
    <t>9 W/m</t>
  </si>
  <si>
    <t>Technical support: EH@danfoss.com</t>
  </si>
  <si>
    <t>Self-limiting heating cable</t>
  </si>
  <si>
    <t>25 W/m @ 10 °C</t>
  </si>
  <si>
    <t>33 W/m @ 10 °C</t>
  </si>
  <si>
    <t>7 W/m @ 45 °C</t>
  </si>
  <si>
    <t>9 W/m @ 55 °C</t>
  </si>
  <si>
    <t>12 W/m @ 70 °C</t>
  </si>
  <si>
    <t>DEVIreg™ 330 (60 -160 °C)</t>
  </si>
  <si>
    <t>DEVIpipeguard 10</t>
  </si>
  <si>
    <t>DEVIpipeheat 10</t>
  </si>
  <si>
    <t>DEVIpipeguard 25</t>
  </si>
  <si>
    <t>DEVIpipeguard 33</t>
  </si>
  <si>
    <t>DEVIhotwatt 55</t>
  </si>
  <si>
    <t>DEVIpipeguard 30 Industry</t>
  </si>
  <si>
    <t>DEVIpipeguard 60 Industry</t>
  </si>
  <si>
    <t>DEVIreg™ 330 (+5 ... +45°C)</t>
  </si>
  <si>
    <t>DEVIreg™ 330 (-10 ... +10°C)</t>
  </si>
  <si>
    <t>DEVIreg™ 610</t>
  </si>
  <si>
    <t>DEVIreg™ 130</t>
  </si>
  <si>
    <t>1 1/4"</t>
  </si>
  <si>
    <t>U1</t>
  </si>
  <si>
    <t>U2</t>
  </si>
  <si>
    <t>P1</t>
  </si>
  <si>
    <t>P2</t>
  </si>
  <si>
    <t>Choose cable with higher W/m</t>
  </si>
  <si>
    <t>cm</t>
  </si>
  <si>
    <t xml:space="preserve">pcs. </t>
  </si>
  <si>
    <t>Calculul pierderilor de căldură pentru conducta și selecția sistemului de încălzire</t>
  </si>
  <si>
    <t>Calcul evaluativ</t>
  </si>
  <si>
    <t>Date informaționale (pentru mai multe informații, consultați manualul de aplicare)</t>
  </si>
  <si>
    <t>Date obiect</t>
  </si>
  <si>
    <t>Celule cu culoare gri - pentru introducerea datelor</t>
  </si>
  <si>
    <t>Lungimea conductei</t>
  </si>
  <si>
    <t>Diametrul exterior al conductei, d</t>
  </si>
  <si>
    <t>Grosimea izolației, h</t>
  </si>
  <si>
    <t>Conductivitatea termică a izolației, λ</t>
  </si>
  <si>
    <t>Temp dorit, tu</t>
  </si>
  <si>
    <t>Temperatura exterioara minima, to</t>
  </si>
  <si>
    <t>Voltaj</t>
  </si>
  <si>
    <t>Factor de securitate</t>
  </si>
  <si>
    <t>Tipul conductei</t>
  </si>
  <si>
    <t>recomandat 1,3</t>
  </si>
  <si>
    <t>Calculul sistemului</t>
  </si>
  <si>
    <r>
      <rPr>
        <b/>
        <sz val="12"/>
        <color theme="1"/>
        <rFont val="Calibri"/>
        <family val="2"/>
        <charset val="204"/>
        <scheme val="minor"/>
      </rPr>
      <t xml:space="preserve">Pierderea de căldură, q </t>
    </r>
    <r>
      <rPr>
        <sz val="12"/>
        <color theme="1"/>
        <rFont val="Calibri"/>
        <family val="2"/>
        <charset val="204"/>
        <scheme val="minor"/>
      </rPr>
      <t xml:space="preserve">(cu factor de siguranță) </t>
    </r>
  </si>
  <si>
    <t>Selectați tipul de cablu</t>
  </si>
  <si>
    <t>Numărul de linii de cablu pe conductă</t>
  </si>
  <si>
    <t>Numărul de vane, flanșe etc.</t>
  </si>
  <si>
    <t>Lungimea cablului calculat</t>
  </si>
  <si>
    <t>Putere totală calculată</t>
  </si>
  <si>
    <t>Bandă de aluminiu</t>
  </si>
  <si>
    <t>Termostat</t>
  </si>
  <si>
    <t>Important de știut</t>
  </si>
  <si>
    <r>
      <rPr>
        <b/>
        <sz val="12"/>
        <color theme="1"/>
        <rFont val="Calibri"/>
        <family val="2"/>
        <charset val="204"/>
        <scheme val="minor"/>
      </rPr>
      <t>Notă 1.</t>
    </r>
    <r>
      <rPr>
        <sz val="12"/>
        <color theme="1"/>
        <rFont val="Calibri"/>
        <family val="2"/>
        <charset val="204"/>
        <scheme val="minor"/>
      </rPr>
      <t xml:space="preserve"> Pentru conductele de plastic, puterea liniară a cablurilor de încălzire rezistive nu trebuie să depășească 10 W/m. Această restricție nu se aplică cablurilor autolimitate (SLC).</t>
    </r>
  </si>
  <si>
    <r>
      <rPr>
        <b/>
        <sz val="12"/>
        <color theme="1"/>
        <rFont val="Calibri"/>
        <family val="2"/>
        <charset val="204"/>
        <scheme val="minor"/>
      </rPr>
      <t xml:space="preserve">Notă 2. </t>
    </r>
    <r>
      <rPr>
        <sz val="12"/>
        <color theme="1"/>
        <rFont val="Calibri"/>
        <family val="2"/>
        <charset val="204"/>
        <scheme val="minor"/>
      </rPr>
      <t>Dacă tensiunea este de 220 V, folosiți coeficientul 0,915 pentru ieșirea cablului</t>
    </r>
  </si>
  <si>
    <r>
      <rPr>
        <b/>
        <sz val="12"/>
        <color theme="1"/>
        <rFont val="Calibri"/>
        <family val="2"/>
        <charset val="204"/>
        <scheme val="minor"/>
      </rPr>
      <t>Notă 3.</t>
    </r>
    <r>
      <rPr>
        <sz val="12"/>
        <color theme="1"/>
        <rFont val="Calibri"/>
        <family val="2"/>
        <charset val="204"/>
        <scheme val="minor"/>
      </rPr>
      <t xml:space="preserve"> Aplicați banda de aluminiu dedesubt (obligatoriu pentru conductele de plastic) și deasupra pe întreaga lungime a cablului.</t>
    </r>
  </si>
  <si>
    <r>
      <rPr>
        <b/>
        <sz val="12"/>
        <color theme="1"/>
        <rFont val="Calibri"/>
        <family val="2"/>
        <charset val="204"/>
        <scheme val="minor"/>
      </rPr>
      <t xml:space="preserve">Notă 4. </t>
    </r>
    <r>
      <rPr>
        <sz val="12"/>
        <color theme="1"/>
        <rFont val="Calibri"/>
        <family val="2"/>
        <charset val="204"/>
        <scheme val="minor"/>
      </rPr>
      <t>Se recomandă instalarea termostatului.</t>
    </r>
  </si>
  <si>
    <t>Cablu rezistiv</t>
  </si>
  <si>
    <t>Cablu autolimitare</t>
  </si>
  <si>
    <t>Distanța centru-centru pentru cablurile înfășurate într-o spirală, C-C</t>
  </si>
  <si>
    <t>Lungimea necesară a cablului</t>
  </si>
  <si>
    <t>Date</t>
  </si>
  <si>
    <t>Suport tehnic: EH@danfoss.com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</si>
</sst>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Myriad Pro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Myriad Pro"/>
      <family val="2"/>
    </font>
    <font>
      <b/>
      <sz val="12"/>
      <color theme="1"/>
      <name val="Calibri"/>
      <family val="2"/>
    </font>
    <font>
      <vertAlign val="superscript"/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0" fillId="0" borderId="12" xfId="0" applyBorder="1"/>
    <xf numFmtId="0" fontId="0" fillId="0" borderId="5" xfId="0" applyBorder="1"/>
    <xf numFmtId="0" fontId="0" fillId="0" borderId="7" xfId="0" applyBorder="1"/>
    <xf numFmtId="2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14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5" xfId="0" applyBorder="1"/>
    <xf numFmtId="0" fontId="3" fillId="0" borderId="1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12" xfId="0" applyFont="1" applyBorder="1" applyAlignme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0" fillId="0" borderId="0" xfId="0" applyNumberFormat="1"/>
    <xf numFmtId="164" fontId="6" fillId="5" borderId="1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6" fillId="3" borderId="2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2" fontId="0" fillId="6" borderId="0" xfId="0" applyNumberFormat="1" applyFill="1"/>
    <xf numFmtId="0" fontId="2" fillId="3" borderId="21" xfId="0" applyFont="1" applyFill="1" applyBorder="1" applyAlignment="1">
      <alignment vertical="center" wrapText="1"/>
    </xf>
    <xf numFmtId="2" fontId="0" fillId="0" borderId="0" xfId="0" applyNumberFormat="1"/>
    <xf numFmtId="0" fontId="16" fillId="0" borderId="28" xfId="0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3" xfId="0" applyBorder="1"/>
    <xf numFmtId="0" fontId="0" fillId="0" borderId="21" xfId="0" applyBorder="1" applyAlignment="1">
      <alignment wrapText="1"/>
    </xf>
    <xf numFmtId="2" fontId="6" fillId="0" borderId="27" xfId="0" applyNumberFormat="1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tiff"/><Relationship Id="rId2" Type="http://schemas.openxmlformats.org/officeDocument/2006/relationships/image" Target="../media/image11.tiff"/><Relationship Id="rId1" Type="http://schemas.openxmlformats.org/officeDocument/2006/relationships/image" Target="../media/image10.tiff"/><Relationship Id="rId4" Type="http://schemas.openxmlformats.org/officeDocument/2006/relationships/image" Target="../media/image13.tif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104776</xdr:colOff>
      <xdr:row>4</xdr:row>
      <xdr:rowOff>161926</xdr:rowOff>
    </xdr:from>
    <xdr:to>
      <xdr:col>8</xdr:col>
      <xdr:colOff>1038225</xdr:colOff>
      <xdr:row>13</xdr:row>
      <xdr:rowOff>308052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176" y="1787526"/>
          <a:ext cx="2271182" cy="232205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11</xdr:col>
      <xdr:colOff>610657</xdr:colOff>
      <xdr:row>0</xdr:row>
      <xdr:rowOff>162983</xdr:rowOff>
    </xdr:from>
    <xdr:to>
      <xdr:col>12</xdr:col>
      <xdr:colOff>1299835</xdr:colOff>
      <xdr:row>1</xdr:row>
      <xdr:rowOff>459386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240" y="162983"/>
          <a:ext cx="1800428" cy="48690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26329</xdr:rowOff>
    </xdr:from>
    <xdr:to>
      <xdr:col>1</xdr:col>
      <xdr:colOff>1717940</xdr:colOff>
      <xdr:row>1</xdr:row>
      <xdr:rowOff>546799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6329"/>
          <a:ext cx="1838325" cy="710970"/>
        </a:xfrm>
        <a:prstGeom prst="rect">
          <a:avLst/>
        </a:prstGeom>
      </xdr:spPr>
    </xdr:pic>
    <xdr:clientData/>
  </xdr:twoCellAnchor>
  <xdr:twoCellAnchor editAs="oneCell">
    <xdr:from>
      <xdr:col>10</xdr:col>
      <xdr:colOff>451908</xdr:colOff>
      <xdr:row>4</xdr:row>
      <xdr:rowOff>180975</xdr:rowOff>
    </xdr:from>
    <xdr:to>
      <xdr:col>12</xdr:col>
      <xdr:colOff>679450</xdr:colOff>
      <xdr:row>12</xdr:row>
      <xdr:rowOff>86043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2841" y="1806575"/>
          <a:ext cx="2505075" cy="188626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5</xdr:col>
      <xdr:colOff>179916</xdr:colOff>
      <xdr:row>16</xdr:row>
      <xdr:rowOff>31751</xdr:rowOff>
    </xdr:from>
    <xdr:to>
      <xdr:col>11</xdr:col>
      <xdr:colOff>971549</xdr:colOff>
      <xdr:row>22</xdr:row>
      <xdr:rowOff>179917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2333" y="4296834"/>
          <a:ext cx="6781800" cy="16192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169333</xdr:rowOff>
    </xdr:from>
    <xdr:to>
      <xdr:col>12</xdr:col>
      <xdr:colOff>1681692</xdr:colOff>
      <xdr:row>31</xdr:row>
      <xdr:rowOff>17992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752A72D-D29E-4CDB-95A6-92943A80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0" y="6350000"/>
          <a:ext cx="8582025" cy="29813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10585</xdr:colOff>
          <xdr:row>23</xdr:row>
          <xdr:rowOff>10584</xdr:rowOff>
        </xdr:from>
        <xdr:to>
          <xdr:col>3</xdr:col>
          <xdr:colOff>1242243</xdr:colOff>
          <xdr:row>24</xdr:row>
          <xdr:rowOff>0</xdr:rowOff>
        </xdr:to>
        <xdr:pic>
          <xdr:nvPicPr>
            <xdr:cNvPr id="11" name="Рисунок 10">
              <a:extLst>
                <a:ext uri="{FF2B5EF4-FFF2-40B4-BE49-F238E27FC236}">
                  <a16:creationId xmlns:a16="http://schemas.microsoft.com/office/drawing/2014/main" id="{ECC04AD1-9750-403D-AC95-FD0D644C8F48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Лого" spid="_x0000_s1303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349502" y="6191251"/>
              <a:ext cx="1231658" cy="121708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113243</xdr:colOff>
      <xdr:row>5</xdr:row>
      <xdr:rowOff>17993</xdr:rowOff>
    </xdr:from>
    <xdr:to>
      <xdr:col>8</xdr:col>
      <xdr:colOff>1046692</xdr:colOff>
      <xdr:row>15</xdr:row>
      <xdr:rowOff>70985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6ECBC23F-6E4C-40CB-8D0F-8CCB359D4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6268" y="1856318"/>
          <a:ext cx="2228849" cy="237603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11</xdr:col>
      <xdr:colOff>610657</xdr:colOff>
      <xdr:row>0</xdr:row>
      <xdr:rowOff>162983</xdr:rowOff>
    </xdr:from>
    <xdr:to>
      <xdr:col>12</xdr:col>
      <xdr:colOff>1299835</xdr:colOff>
      <xdr:row>1</xdr:row>
      <xdr:rowOff>459386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BBF8ACF4-A562-4BC2-AEFE-ECE03D36D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4757" y="162983"/>
          <a:ext cx="1803603" cy="48690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26329</xdr:rowOff>
    </xdr:from>
    <xdr:to>
      <xdr:col>1</xdr:col>
      <xdr:colOff>1750395</xdr:colOff>
      <xdr:row>1</xdr:row>
      <xdr:rowOff>546799</xdr:rowOff>
    </xdr:to>
    <xdr:pic>
      <xdr:nvPicPr>
        <xdr:cNvPr id="4" name="Рисунок 5">
          <a:extLst>
            <a:ext uri="{FF2B5EF4-FFF2-40B4-BE49-F238E27FC236}">
              <a16:creationId xmlns:a16="http://schemas.microsoft.com/office/drawing/2014/main" id="{6E4A13DA-8DBD-42E2-8586-35216EDE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6329"/>
          <a:ext cx="1840706" cy="710970"/>
        </a:xfrm>
        <a:prstGeom prst="rect">
          <a:avLst/>
        </a:prstGeom>
      </xdr:spPr>
    </xdr:pic>
    <xdr:clientData/>
  </xdr:twoCellAnchor>
  <xdr:twoCellAnchor editAs="oneCell">
    <xdr:from>
      <xdr:col>10</xdr:col>
      <xdr:colOff>451908</xdr:colOff>
      <xdr:row>5</xdr:row>
      <xdr:rowOff>28575</xdr:rowOff>
    </xdr:from>
    <xdr:to>
      <xdr:col>12</xdr:col>
      <xdr:colOff>679450</xdr:colOff>
      <xdr:row>13</xdr:row>
      <xdr:rowOff>69109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600776AF-FBDD-4E8B-AF38-E5FBA8539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1108" y="1866900"/>
          <a:ext cx="2446867" cy="192542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5</xdr:col>
      <xdr:colOff>179916</xdr:colOff>
      <xdr:row>16</xdr:row>
      <xdr:rowOff>31751</xdr:rowOff>
    </xdr:from>
    <xdr:to>
      <xdr:col>11</xdr:col>
      <xdr:colOff>971549</xdr:colOff>
      <xdr:row>22</xdr:row>
      <xdr:rowOff>179917</xdr:rowOff>
    </xdr:to>
    <xdr:pic>
      <xdr:nvPicPr>
        <xdr:cNvPr id="6" name="Рисунок 8">
          <a:extLst>
            <a:ext uri="{FF2B5EF4-FFF2-40B4-BE49-F238E27FC236}">
              <a16:creationId xmlns:a16="http://schemas.microsoft.com/office/drawing/2014/main" id="{982F3787-28F5-419E-9302-8B72495FD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3266" y="4479926"/>
          <a:ext cx="6792383" cy="160549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169333</xdr:rowOff>
    </xdr:from>
    <xdr:to>
      <xdr:col>12</xdr:col>
      <xdr:colOff>1681692</xdr:colOff>
      <xdr:row>31</xdr:row>
      <xdr:rowOff>155575</xdr:rowOff>
    </xdr:to>
    <xdr:pic>
      <xdr:nvPicPr>
        <xdr:cNvPr id="7" name="Рисунок 7">
          <a:extLst>
            <a:ext uri="{FF2B5EF4-FFF2-40B4-BE49-F238E27FC236}">
              <a16:creationId xmlns:a16="http://schemas.microsoft.com/office/drawing/2014/main" id="{92FB61F0-91A7-4382-9F38-B109E8B4F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6293908"/>
          <a:ext cx="8596842" cy="2965450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25</xdr:row>
      <xdr:rowOff>21168</xdr:rowOff>
    </xdr:from>
    <xdr:to>
      <xdr:col>3</xdr:col>
      <xdr:colOff>829734</xdr:colOff>
      <xdr:row>25</xdr:row>
      <xdr:rowOff>927398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11C01E5-0D40-45C6-AD65-78173756E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7027335"/>
          <a:ext cx="3333750" cy="906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9525</xdr:rowOff>
    </xdr:from>
    <xdr:to>
      <xdr:col>2</xdr:col>
      <xdr:colOff>1590675</xdr:colOff>
      <xdr:row>1</xdr:row>
      <xdr:rowOff>1571625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B5E98C8-C873-4121-97C6-E4E874CD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962025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</xdr:row>
      <xdr:rowOff>9525</xdr:rowOff>
    </xdr:from>
    <xdr:to>
      <xdr:col>3</xdr:col>
      <xdr:colOff>12954</xdr:colOff>
      <xdr:row>2</xdr:row>
      <xdr:rowOff>1603629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7ACC0D8-958C-4A24-AED6-5EB378624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2552700"/>
          <a:ext cx="1594104" cy="1594104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2</xdr:row>
      <xdr:rowOff>1600200</xdr:rowOff>
    </xdr:from>
    <xdr:to>
      <xdr:col>2</xdr:col>
      <xdr:colOff>1584579</xdr:colOff>
      <xdr:row>3</xdr:row>
      <xdr:rowOff>1584579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28DD96F-1098-47B6-883D-54469DDE5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4143375"/>
          <a:ext cx="1594104" cy="1594104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3</xdr:col>
      <xdr:colOff>3429</xdr:colOff>
      <xdr:row>5</xdr:row>
      <xdr:rowOff>3429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1B03C70-C0D8-4E70-B7EA-7AD415CEA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5743575"/>
          <a:ext cx="1594104" cy="1594104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5</xdr:row>
      <xdr:rowOff>28574</xdr:rowOff>
    </xdr:from>
    <xdr:to>
      <xdr:col>2</xdr:col>
      <xdr:colOff>1562100</xdr:colOff>
      <xdr:row>5</xdr:row>
      <xdr:rowOff>1562099</xdr:rowOff>
    </xdr:to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33FED16D-0986-416F-B2AC-AA9CAB54DB74}"/>
            </a:ext>
          </a:extLst>
        </xdr:cNvPr>
        <xdr:cNvSpPr/>
      </xdr:nvSpPr>
      <xdr:spPr>
        <a:xfrm>
          <a:off x="1257300" y="7362824"/>
          <a:ext cx="1524000" cy="1533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zoomScale="90" zoomScaleNormal="90" workbookViewId="0">
      <selection activeCell="B34" sqref="B34:D34"/>
    </sheetView>
  </sheetViews>
  <sheetFormatPr defaultRowHeight="14.5" x14ac:dyDescent="0.35"/>
  <cols>
    <col min="1" max="1" width="3.54296875" customWidth="1"/>
    <col min="2" max="2" width="26.36328125" style="96" customWidth="1"/>
    <col min="3" max="3" width="8.54296875" style="96" customWidth="1"/>
    <col min="4" max="4" width="18.453125" style="96" customWidth="1"/>
    <col min="5" max="5" width="5.36328125" customWidth="1"/>
    <col min="6" max="6" width="3" customWidth="1"/>
    <col min="7" max="7" width="15.08984375" customWidth="1"/>
    <col min="8" max="8" width="19.453125" customWidth="1"/>
    <col min="9" max="9" width="18" customWidth="1"/>
    <col min="10" max="10" width="17.90625" customWidth="1"/>
    <col min="11" max="11" width="16.54296875" customWidth="1"/>
    <col min="12" max="12" width="16.6328125" customWidth="1"/>
    <col min="13" max="13" width="25.54296875" customWidth="1"/>
    <col min="14" max="15" width="14.6328125" bestFit="1" customWidth="1"/>
  </cols>
  <sheetData>
    <row r="1" spans="1:18" x14ac:dyDescent="0.35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8" ht="46.5" customHeight="1" thickBot="1" x14ac:dyDescent="0.4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  <c r="R2" s="1">
        <f>C20/C23</f>
        <v>1.0328830623416121</v>
      </c>
    </row>
    <row r="3" spans="1:18" ht="28.5" customHeight="1" thickBot="1" x14ac:dyDescent="0.4">
      <c r="A3" s="114" t="s">
        <v>94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R3" s="1"/>
    </row>
    <row r="4" spans="1:18" ht="39" customHeight="1" thickBot="1" x14ac:dyDescent="0.4">
      <c r="A4" s="120" t="s">
        <v>95</v>
      </c>
      <c r="B4" s="121"/>
      <c r="C4" s="121"/>
      <c r="D4" s="121"/>
      <c r="E4" s="122"/>
      <c r="F4" s="117" t="s">
        <v>96</v>
      </c>
      <c r="G4" s="118"/>
      <c r="H4" s="118"/>
      <c r="I4" s="118"/>
      <c r="J4" s="118"/>
      <c r="K4" s="118"/>
      <c r="L4" s="118"/>
      <c r="M4" s="119"/>
    </row>
    <row r="5" spans="1:18" ht="15" thickBot="1" x14ac:dyDescent="0.4">
      <c r="A5" s="5"/>
      <c r="B5" s="90"/>
      <c r="C5" s="90"/>
      <c r="D5" s="90"/>
      <c r="E5" s="7"/>
      <c r="F5" s="5"/>
      <c r="G5" s="6"/>
      <c r="H5" s="6"/>
      <c r="I5" s="6"/>
      <c r="J5" s="6"/>
      <c r="K5" s="6"/>
      <c r="L5" s="6"/>
      <c r="M5" s="7"/>
    </row>
    <row r="6" spans="1:18" ht="16" thickBot="1" x14ac:dyDescent="0.4">
      <c r="A6" s="8"/>
      <c r="B6" s="126" t="s">
        <v>98</v>
      </c>
      <c r="C6" s="127"/>
      <c r="D6" s="128"/>
      <c r="E6" s="9"/>
      <c r="F6" s="27"/>
      <c r="G6" s="17"/>
      <c r="H6" s="17"/>
      <c r="I6" s="4"/>
      <c r="J6" s="4"/>
      <c r="K6" s="4"/>
      <c r="L6" s="4"/>
      <c r="M6" s="11"/>
    </row>
    <row r="7" spans="1:18" ht="16.5" customHeight="1" thickBot="1" x14ac:dyDescent="0.4">
      <c r="A7" s="8"/>
      <c r="B7" s="3"/>
      <c r="C7" s="3"/>
      <c r="D7" s="3"/>
      <c r="E7" s="9"/>
      <c r="F7" s="25"/>
      <c r="G7" s="26"/>
      <c r="H7" s="26"/>
      <c r="I7" s="4"/>
      <c r="J7" s="4"/>
      <c r="K7" s="4"/>
      <c r="L7" s="4"/>
      <c r="M7" s="11"/>
    </row>
    <row r="8" spans="1:18" ht="18.5" x14ac:dyDescent="0.35">
      <c r="A8" s="8"/>
      <c r="B8" s="129" t="s">
        <v>127</v>
      </c>
      <c r="C8" s="130"/>
      <c r="D8" s="131"/>
      <c r="E8" s="10"/>
      <c r="F8" s="23"/>
      <c r="G8" s="24"/>
      <c r="H8" s="24"/>
      <c r="I8" s="4"/>
      <c r="J8" s="4"/>
      <c r="K8" s="4"/>
      <c r="L8" s="4"/>
      <c r="M8" s="11"/>
    </row>
    <row r="9" spans="1:18" ht="18" customHeight="1" x14ac:dyDescent="0.35">
      <c r="A9" s="8"/>
      <c r="B9" s="64" t="s">
        <v>99</v>
      </c>
      <c r="C9" s="63">
        <v>20</v>
      </c>
      <c r="D9" s="65" t="s">
        <v>44</v>
      </c>
      <c r="E9" s="10"/>
      <c r="F9" s="23"/>
      <c r="G9" s="24"/>
      <c r="H9" s="24"/>
      <c r="I9" s="4"/>
      <c r="J9" s="4"/>
      <c r="K9" s="4"/>
      <c r="L9" s="4"/>
      <c r="M9" s="11"/>
    </row>
    <row r="10" spans="1:18" ht="29" x14ac:dyDescent="0.35">
      <c r="A10" s="8"/>
      <c r="B10" s="100" t="s">
        <v>100</v>
      </c>
      <c r="C10" s="63">
        <v>42</v>
      </c>
      <c r="D10" s="66" t="s">
        <v>0</v>
      </c>
      <c r="E10" s="11"/>
      <c r="F10" s="31"/>
      <c r="G10" s="16"/>
      <c r="H10" s="24"/>
      <c r="I10" s="4"/>
      <c r="J10" s="4"/>
      <c r="K10" s="4"/>
      <c r="L10" s="4"/>
      <c r="M10" s="11"/>
    </row>
    <row r="11" spans="1:18" ht="15.5" x14ac:dyDescent="0.35">
      <c r="A11" s="8"/>
      <c r="B11" s="98" t="s">
        <v>101</v>
      </c>
      <c r="C11" s="63">
        <v>50</v>
      </c>
      <c r="D11" s="66" t="s">
        <v>0</v>
      </c>
      <c r="E11" s="11"/>
      <c r="F11" s="32"/>
      <c r="G11" s="22"/>
      <c r="H11" s="22"/>
      <c r="I11" s="4"/>
      <c r="J11" s="4"/>
      <c r="K11" s="4"/>
      <c r="L11" s="4"/>
      <c r="M11" s="11"/>
    </row>
    <row r="12" spans="1:18" ht="29" x14ac:dyDescent="0.35">
      <c r="A12" s="8"/>
      <c r="B12" s="100" t="s">
        <v>102</v>
      </c>
      <c r="C12" s="62">
        <v>3.5000000000000003E-2</v>
      </c>
      <c r="D12" s="66" t="s">
        <v>2</v>
      </c>
      <c r="E12" s="11"/>
      <c r="F12" s="32"/>
      <c r="G12" s="22"/>
      <c r="H12" s="22"/>
      <c r="I12" s="4"/>
      <c r="J12" s="4"/>
      <c r="K12" s="4"/>
      <c r="L12" s="4"/>
      <c r="M12" s="11"/>
    </row>
    <row r="13" spans="1:18" ht="15.5" x14ac:dyDescent="0.35">
      <c r="A13" s="8"/>
      <c r="B13" s="98" t="s">
        <v>103</v>
      </c>
      <c r="C13" s="62">
        <v>55</v>
      </c>
      <c r="D13" s="66" t="s">
        <v>3</v>
      </c>
      <c r="E13" s="11"/>
      <c r="F13" s="32"/>
      <c r="G13" s="22"/>
      <c r="H13" s="22"/>
      <c r="I13" s="4"/>
      <c r="J13" s="4"/>
      <c r="K13" s="4"/>
      <c r="L13" s="4"/>
      <c r="M13" s="11"/>
    </row>
    <row r="14" spans="1:18" ht="29" x14ac:dyDescent="0.35">
      <c r="A14" s="8"/>
      <c r="B14" s="100" t="s">
        <v>104</v>
      </c>
      <c r="C14" s="62">
        <v>20</v>
      </c>
      <c r="D14" s="66" t="s">
        <v>3</v>
      </c>
      <c r="E14" s="11"/>
      <c r="F14" s="32"/>
      <c r="G14" s="22"/>
      <c r="H14" s="22"/>
      <c r="I14" s="4"/>
      <c r="J14" s="4"/>
      <c r="K14" s="4"/>
      <c r="L14" s="4"/>
      <c r="M14" s="11"/>
    </row>
    <row r="15" spans="1:18" ht="17.25" customHeight="1" x14ac:dyDescent="0.35">
      <c r="A15" s="8"/>
      <c r="B15" s="98" t="s">
        <v>105</v>
      </c>
      <c r="C15" s="62">
        <v>220</v>
      </c>
      <c r="D15" s="66" t="s">
        <v>51</v>
      </c>
      <c r="E15" s="11"/>
      <c r="F15" s="32"/>
      <c r="G15" s="22"/>
      <c r="H15" s="22"/>
      <c r="I15" s="4"/>
      <c r="J15" s="4"/>
      <c r="K15" s="4"/>
      <c r="L15" s="4"/>
      <c r="M15" s="11"/>
    </row>
    <row r="16" spans="1:18" ht="17.25" customHeight="1" x14ac:dyDescent="0.35">
      <c r="A16" s="8"/>
      <c r="B16" s="98" t="s">
        <v>106</v>
      </c>
      <c r="C16" s="62">
        <v>1.3</v>
      </c>
      <c r="D16" s="67" t="s">
        <v>108</v>
      </c>
      <c r="E16" s="11"/>
      <c r="F16" s="32"/>
      <c r="G16" s="22"/>
      <c r="H16" s="22"/>
      <c r="I16" s="4"/>
      <c r="J16" s="4"/>
      <c r="K16" s="4"/>
      <c r="L16" s="4"/>
      <c r="M16" s="11"/>
    </row>
    <row r="17" spans="1:13" ht="17.25" customHeight="1" thickBot="1" x14ac:dyDescent="0.4">
      <c r="A17" s="8"/>
      <c r="B17" s="99" t="s">
        <v>107</v>
      </c>
      <c r="C17" s="135" t="s">
        <v>46</v>
      </c>
      <c r="D17" s="136"/>
      <c r="E17" s="11"/>
      <c r="F17" s="32"/>
      <c r="G17" s="22"/>
      <c r="H17" s="22"/>
      <c r="I17" s="4"/>
      <c r="J17" s="4"/>
      <c r="K17" s="4"/>
      <c r="L17" s="4"/>
      <c r="M17" s="11"/>
    </row>
    <row r="18" spans="1:13" ht="17.25" customHeight="1" thickBot="1" x14ac:dyDescent="0.4">
      <c r="A18" s="8"/>
      <c r="B18" s="91"/>
      <c r="C18" s="91"/>
      <c r="D18" s="91"/>
      <c r="E18" s="11"/>
      <c r="F18" s="32"/>
      <c r="G18" s="22"/>
      <c r="H18" s="22"/>
      <c r="I18" s="4"/>
      <c r="J18" s="4"/>
      <c r="K18" s="4"/>
      <c r="L18" s="4"/>
      <c r="M18" s="11"/>
    </row>
    <row r="19" spans="1:13" ht="17.25" customHeight="1" x14ac:dyDescent="0.35">
      <c r="A19" s="8"/>
      <c r="B19" s="123" t="s">
        <v>109</v>
      </c>
      <c r="C19" s="124"/>
      <c r="D19" s="125"/>
      <c r="E19" s="11"/>
      <c r="F19" s="32"/>
      <c r="G19" s="22"/>
      <c r="H19" s="22"/>
      <c r="I19" s="4"/>
      <c r="J19" s="4"/>
      <c r="K19" s="4"/>
      <c r="L19" s="4"/>
      <c r="M19" s="11"/>
    </row>
    <row r="20" spans="1:13" ht="31" x14ac:dyDescent="0.35">
      <c r="A20" s="8"/>
      <c r="B20" s="68" t="s">
        <v>110</v>
      </c>
      <c r="C20" s="60">
        <f>2*3.14*C12*(C13-C14)*C16/LN((C10+2*C11)/C10)</f>
        <v>8.20985832964252</v>
      </c>
      <c r="D20" s="69" t="s">
        <v>1</v>
      </c>
      <c r="E20" s="11"/>
      <c r="F20" s="32"/>
      <c r="G20" s="22"/>
      <c r="H20" s="22"/>
      <c r="I20" s="4"/>
      <c r="J20" s="4"/>
      <c r="K20" s="4"/>
      <c r="L20" s="4"/>
      <c r="M20" s="11"/>
    </row>
    <row r="21" spans="1:13" ht="15.75" customHeight="1" x14ac:dyDescent="0.35">
      <c r="A21" s="8"/>
      <c r="B21" s="70"/>
      <c r="C21" s="14"/>
      <c r="D21" s="71"/>
      <c r="E21" s="11"/>
      <c r="F21" s="8"/>
      <c r="G21" s="4"/>
      <c r="H21" s="4"/>
      <c r="I21" s="4"/>
      <c r="J21" s="4"/>
      <c r="K21" s="4"/>
      <c r="L21" s="4"/>
      <c r="M21" s="11"/>
    </row>
    <row r="22" spans="1:13" ht="15.75" customHeight="1" x14ac:dyDescent="0.35">
      <c r="A22" s="8"/>
      <c r="B22" s="72" t="s">
        <v>111</v>
      </c>
      <c r="C22" s="133" t="s">
        <v>124</v>
      </c>
      <c r="D22" s="134"/>
      <c r="E22" s="11"/>
      <c r="F22" s="8"/>
      <c r="G22" s="4"/>
      <c r="H22" s="4"/>
      <c r="I22" s="4"/>
      <c r="J22" s="4"/>
      <c r="K22" s="4"/>
      <c r="L22" s="4"/>
      <c r="M22" s="11"/>
    </row>
    <row r="23" spans="1:13" ht="17.25" customHeight="1" x14ac:dyDescent="0.35">
      <c r="A23" s="8"/>
      <c r="B23" s="89" t="s">
        <v>77</v>
      </c>
      <c r="C23" s="83">
        <f>IF(AND(C22="Cablu rezistiv",C15=230),VLOOKUP(B23,Sheet3!B16:D24,2,0),IF(AND(C15=230,C22="Cablu autolimitare"),VLOOKUP(B23,Sheet3!F16:H26,2,0),IF(AND(C22="Cablu rezistiv",C15=220),VLOOKUP(B23,Sheet3!B30:D38,2,0),IF(AND(C15=220,C22="Cablu autolimitare"),VLOOKUP(B23,Sheet3!F30:H41,2,0),IF(AND(C22="Cablu rezistiv",C15=240),VLOOKUP(B23,Sheet3!B44:D52,2,0),IF(AND(C15=240,C22="Cablu autolimitare"),VLOOKUP(B23,Sheet3!F44:H55,2,0)))))))</f>
        <v>7.9484877126654059</v>
      </c>
      <c r="D23" s="82" t="str">
        <f>IF(C22="Resistive cable","W/m",TEXT("W/m @ "&amp; C13 &amp; " °C",))</f>
        <v>W/m @ 55 °C</v>
      </c>
      <c r="E23" s="11"/>
      <c r="F23" s="8"/>
      <c r="G23" s="4"/>
      <c r="H23" s="4"/>
      <c r="I23" s="4"/>
      <c r="J23" s="4"/>
      <c r="K23" s="4"/>
      <c r="L23" s="4"/>
      <c r="M23" s="11"/>
    </row>
    <row r="24" spans="1:13" ht="96.75" customHeight="1" x14ac:dyDescent="0.35">
      <c r="A24" s="8"/>
      <c r="B24" s="80" t="s">
        <v>112</v>
      </c>
      <c r="C24" s="61">
        <f>IF(R2&lt;=1,1,IF(AND(R2&gt;1,R2&lt;=2),2,IF(AND(R2&gt;2,R2&lt;=3),3,IF(AND(R2&gt;3,R2&lt;=4),4,"Choose cable with higher W/m"))))</f>
        <v>2</v>
      </c>
      <c r="D24" s="73"/>
      <c r="E24" s="11"/>
      <c r="F24" s="8"/>
      <c r="G24" s="4"/>
      <c r="H24" s="4"/>
      <c r="I24" s="4"/>
      <c r="J24" s="4"/>
      <c r="K24" s="4"/>
      <c r="L24" s="4"/>
      <c r="M24" s="11"/>
    </row>
    <row r="25" spans="1:13" ht="31" x14ac:dyDescent="0.35">
      <c r="A25" s="8"/>
      <c r="B25" s="80" t="s">
        <v>113</v>
      </c>
      <c r="C25" s="61">
        <v>0</v>
      </c>
      <c r="D25" s="85" t="s">
        <v>93</v>
      </c>
      <c r="E25" s="11"/>
      <c r="F25" s="8"/>
      <c r="G25" s="4"/>
      <c r="H25" s="4"/>
      <c r="I25" s="4"/>
      <c r="J25" s="4"/>
      <c r="K25" s="4"/>
      <c r="L25" s="4"/>
      <c r="M25" s="11"/>
    </row>
    <row r="26" spans="1:13" ht="17.25" customHeight="1" x14ac:dyDescent="0.35">
      <c r="A26" s="8"/>
      <c r="B26" s="92" t="s">
        <v>114</v>
      </c>
      <c r="C26" s="61">
        <f>C9*C24+0.5*C25</f>
        <v>40</v>
      </c>
      <c r="D26" s="74" t="s">
        <v>44</v>
      </c>
      <c r="E26" s="11"/>
      <c r="F26" s="8"/>
      <c r="G26" s="4"/>
      <c r="H26" s="4"/>
      <c r="I26" s="4"/>
      <c r="J26" s="4"/>
      <c r="K26" s="4"/>
      <c r="L26" s="4"/>
      <c r="M26" s="11"/>
    </row>
    <row r="27" spans="1:13" ht="17.25" customHeight="1" x14ac:dyDescent="0.35">
      <c r="A27" s="8"/>
      <c r="B27" s="92" t="s">
        <v>115</v>
      </c>
      <c r="C27" s="61">
        <f>C24*C23*C9</f>
        <v>317.93950850661622</v>
      </c>
      <c r="D27" s="97" t="s">
        <v>47</v>
      </c>
      <c r="E27" s="11"/>
      <c r="F27" s="8"/>
      <c r="G27" s="4"/>
      <c r="H27" s="4"/>
      <c r="I27" s="4"/>
      <c r="J27" s="4"/>
      <c r="K27" s="4"/>
      <c r="L27" s="4"/>
      <c r="M27" s="11"/>
    </row>
    <row r="28" spans="1:13" ht="17.25" customHeight="1" x14ac:dyDescent="0.35">
      <c r="A28" s="8"/>
      <c r="B28" s="93" t="s">
        <v>116</v>
      </c>
      <c r="C28" s="61">
        <f>IF(C17="Plastic", C26*2,C26)</f>
        <v>80</v>
      </c>
      <c r="D28" s="97" t="s">
        <v>44</v>
      </c>
      <c r="E28" s="11"/>
      <c r="F28" s="8"/>
      <c r="G28" s="4"/>
      <c r="H28" s="4"/>
      <c r="I28" s="4"/>
      <c r="J28" s="4"/>
      <c r="K28" s="4"/>
      <c r="L28" s="4"/>
      <c r="M28" s="11"/>
    </row>
    <row r="29" spans="1:13" ht="30.75" customHeight="1" thickBot="1" x14ac:dyDescent="0.4">
      <c r="A29" s="8"/>
      <c r="B29" s="75" t="s">
        <v>117</v>
      </c>
      <c r="C29" s="137" t="s">
        <v>83</v>
      </c>
      <c r="D29" s="138"/>
      <c r="E29" s="11"/>
      <c r="F29" s="8"/>
      <c r="G29" s="4"/>
      <c r="H29" s="4"/>
      <c r="I29" s="4"/>
      <c r="J29" s="4"/>
      <c r="K29" s="4"/>
      <c r="L29" s="4"/>
      <c r="M29" s="11"/>
    </row>
    <row r="30" spans="1:13" ht="15.5" x14ac:dyDescent="0.35">
      <c r="A30" s="8"/>
      <c r="B30" s="94"/>
      <c r="C30" s="3"/>
      <c r="D30" s="94"/>
      <c r="E30" s="11"/>
      <c r="F30" s="8"/>
      <c r="G30" s="4"/>
      <c r="H30" s="4"/>
      <c r="I30" s="4"/>
      <c r="J30" s="4"/>
      <c r="K30" s="4"/>
      <c r="L30" s="4"/>
      <c r="M30" s="11"/>
    </row>
    <row r="31" spans="1:13" ht="18.5" x14ac:dyDescent="0.35">
      <c r="A31" s="8"/>
      <c r="B31" s="132" t="s">
        <v>118</v>
      </c>
      <c r="C31" s="132"/>
      <c r="D31" s="132"/>
      <c r="E31" s="11"/>
      <c r="F31" s="8"/>
      <c r="G31" s="4"/>
      <c r="H31" s="4"/>
      <c r="I31" s="4"/>
      <c r="J31" s="4"/>
      <c r="K31" s="4"/>
      <c r="L31" s="4"/>
      <c r="M31" s="11"/>
    </row>
    <row r="32" spans="1:13" ht="65.25" customHeight="1" x14ac:dyDescent="0.35">
      <c r="A32" s="8"/>
      <c r="B32" s="103" t="s">
        <v>119</v>
      </c>
      <c r="C32" s="103"/>
      <c r="D32" s="103"/>
      <c r="E32" s="11"/>
      <c r="F32" s="8"/>
      <c r="G32" s="4"/>
      <c r="H32" s="4"/>
      <c r="I32" s="4"/>
      <c r="J32" s="4"/>
      <c r="K32" s="4"/>
      <c r="L32" s="4"/>
      <c r="M32" s="11"/>
    </row>
    <row r="33" spans="1:21" ht="32.25" customHeight="1" x14ac:dyDescent="0.35">
      <c r="A33" s="8"/>
      <c r="B33" s="103" t="s">
        <v>120</v>
      </c>
      <c r="C33" s="103"/>
      <c r="D33" s="103"/>
      <c r="E33" s="11"/>
      <c r="F33" s="33"/>
      <c r="G33" s="20"/>
      <c r="H33" s="20"/>
      <c r="I33" s="20"/>
      <c r="J33" s="20"/>
      <c r="K33" s="20"/>
      <c r="L33" s="20"/>
      <c r="M33" s="45"/>
    </row>
    <row r="34" spans="1:21" ht="51.75" customHeight="1" thickBot="1" x14ac:dyDescent="0.4">
      <c r="A34" s="8"/>
      <c r="B34" s="103" t="s">
        <v>121</v>
      </c>
      <c r="C34" s="104"/>
      <c r="D34" s="104"/>
      <c r="E34" s="11"/>
      <c r="F34" s="27"/>
      <c r="G34" s="20"/>
      <c r="H34" s="20"/>
      <c r="I34" s="20"/>
      <c r="J34" s="20"/>
      <c r="K34" s="20"/>
      <c r="L34" s="20"/>
      <c r="M34" s="45"/>
      <c r="N34" s="17"/>
      <c r="O34" s="17"/>
      <c r="P34" s="17"/>
      <c r="Q34" s="17"/>
      <c r="R34" s="17"/>
      <c r="S34" s="17"/>
      <c r="T34" s="17"/>
      <c r="U34" s="4"/>
    </row>
    <row r="35" spans="1:21" ht="31.5" customHeight="1" thickBot="1" x14ac:dyDescent="0.4">
      <c r="A35" s="8"/>
      <c r="B35" s="105" t="s">
        <v>122</v>
      </c>
      <c r="C35" s="106"/>
      <c r="D35" s="107"/>
      <c r="E35" s="11"/>
      <c r="F35" s="25"/>
      <c r="G35" s="139" t="s">
        <v>128</v>
      </c>
      <c r="H35" s="140"/>
      <c r="I35" s="141"/>
      <c r="J35" s="20"/>
      <c r="K35" s="20"/>
      <c r="L35" s="20"/>
      <c r="M35" s="45"/>
      <c r="N35" s="26"/>
      <c r="O35" s="26"/>
      <c r="P35" s="26"/>
      <c r="Q35" s="26"/>
      <c r="R35" s="26"/>
      <c r="S35" s="26"/>
      <c r="T35" s="26"/>
      <c r="U35" s="4"/>
    </row>
    <row r="36" spans="1:21" ht="16" thickBot="1" x14ac:dyDescent="0.4">
      <c r="A36" s="12"/>
      <c r="B36" s="95"/>
      <c r="C36" s="95"/>
      <c r="D36" s="95"/>
      <c r="E36" s="13"/>
      <c r="F36" s="49"/>
      <c r="G36" s="50"/>
      <c r="H36" s="51"/>
      <c r="I36" s="51"/>
      <c r="J36" s="51"/>
      <c r="K36" s="51"/>
      <c r="L36" s="51"/>
      <c r="M36" s="52"/>
      <c r="N36" s="21"/>
      <c r="O36" s="21"/>
      <c r="P36" s="21"/>
      <c r="Q36" s="21"/>
      <c r="R36" s="19"/>
      <c r="S36" s="19"/>
      <c r="T36" s="19"/>
      <c r="U36" s="4"/>
    </row>
    <row r="37" spans="1:21" ht="15.5" x14ac:dyDescent="0.35">
      <c r="A37" s="4"/>
      <c r="B37" s="91"/>
      <c r="C37" s="91"/>
      <c r="D37" s="91"/>
      <c r="E37" s="4"/>
      <c r="F37" s="24"/>
      <c r="G37" s="41"/>
      <c r="H37" s="42"/>
      <c r="I37" s="42"/>
      <c r="J37" s="42"/>
      <c r="K37" s="43"/>
      <c r="L37" s="42"/>
      <c r="M37" s="43"/>
      <c r="N37" s="19"/>
      <c r="O37" s="19"/>
      <c r="P37" s="19"/>
      <c r="Q37" s="19"/>
      <c r="R37" s="19"/>
      <c r="S37" s="19"/>
      <c r="T37" s="19"/>
      <c r="U37" s="4"/>
    </row>
    <row r="38" spans="1:21" ht="15.5" x14ac:dyDescent="0.35">
      <c r="A38" s="4"/>
      <c r="B38" s="91"/>
      <c r="C38" s="91"/>
      <c r="D38" s="91"/>
      <c r="E38" s="4"/>
      <c r="F38" s="24"/>
      <c r="G38" s="41"/>
      <c r="H38" s="43"/>
      <c r="I38" s="43"/>
      <c r="J38" s="43"/>
      <c r="K38" s="43"/>
      <c r="L38" s="43"/>
      <c r="M38" s="43"/>
      <c r="N38" s="19"/>
      <c r="O38" s="19"/>
      <c r="P38" s="19"/>
      <c r="Q38" s="19"/>
      <c r="R38" s="19"/>
      <c r="S38" s="19"/>
      <c r="T38" s="19"/>
      <c r="U38" s="4"/>
    </row>
    <row r="39" spans="1:21" x14ac:dyDescent="0.35">
      <c r="A39" s="4"/>
      <c r="B39" s="91"/>
      <c r="C39" s="91"/>
      <c r="D39" s="91"/>
      <c r="E39" s="4"/>
      <c r="F39" s="48"/>
      <c r="G39" s="4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5.75" customHeight="1" x14ac:dyDescent="0.35">
      <c r="A40" s="4"/>
      <c r="B40" s="91"/>
      <c r="C40" s="91"/>
      <c r="D40" s="91"/>
      <c r="E40" s="4"/>
      <c r="F40" s="4"/>
      <c r="G40" s="24"/>
      <c r="H40" s="20"/>
      <c r="I40" s="20"/>
      <c r="J40" s="20"/>
      <c r="K40" s="20"/>
      <c r="L40" s="20"/>
      <c r="M40" s="20"/>
      <c r="N40" s="4"/>
    </row>
    <row r="41" spans="1:21" ht="15.5" x14ac:dyDescent="0.35">
      <c r="A41" s="4"/>
      <c r="B41" s="91"/>
      <c r="C41" s="91"/>
      <c r="D41" s="91"/>
      <c r="E41" s="4"/>
      <c r="F41" s="4"/>
      <c r="G41" s="24"/>
      <c r="H41" s="40"/>
      <c r="I41" s="40"/>
      <c r="J41" s="40"/>
      <c r="K41" s="40"/>
      <c r="L41" s="40"/>
      <c r="M41" s="40"/>
      <c r="N41" s="4"/>
    </row>
    <row r="42" spans="1:21" ht="15.5" x14ac:dyDescent="0.35">
      <c r="A42" s="4"/>
      <c r="B42" s="91"/>
      <c r="C42" s="91"/>
      <c r="D42" s="91"/>
      <c r="E42" s="4"/>
      <c r="F42" s="4"/>
      <c r="G42" s="41"/>
      <c r="H42" s="43"/>
      <c r="I42" s="43"/>
      <c r="J42" s="43"/>
      <c r="K42" s="43"/>
      <c r="L42" s="43"/>
      <c r="M42" s="43"/>
      <c r="N42" s="4"/>
    </row>
    <row r="43" spans="1:21" ht="15.5" x14ac:dyDescent="0.35">
      <c r="A43" s="4"/>
      <c r="B43" s="91"/>
      <c r="C43" s="91"/>
      <c r="D43" s="91"/>
      <c r="E43" s="4"/>
      <c r="F43" s="4"/>
      <c r="G43" s="41"/>
      <c r="H43" s="43"/>
      <c r="I43" s="43"/>
      <c r="J43" s="43"/>
      <c r="K43" s="43"/>
      <c r="L43" s="43"/>
      <c r="M43" s="43"/>
      <c r="N43" s="4"/>
    </row>
    <row r="44" spans="1:21" x14ac:dyDescent="0.35">
      <c r="A44" s="4"/>
      <c r="B44" s="91"/>
      <c r="C44" s="91"/>
      <c r="D44" s="91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21" x14ac:dyDescent="0.35">
      <c r="A45" s="4"/>
      <c r="B45" s="91"/>
      <c r="C45" s="91"/>
      <c r="D45" s="91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21" x14ac:dyDescent="0.35">
      <c r="A46" s="4"/>
      <c r="B46" s="91"/>
      <c r="C46" s="91"/>
      <c r="D46" s="91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21" x14ac:dyDescent="0.35">
      <c r="A47" s="4"/>
      <c r="B47" s="91"/>
      <c r="C47" s="91"/>
      <c r="D47" s="91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21" x14ac:dyDescent="0.35">
      <c r="A48" s="4"/>
      <c r="B48" s="91"/>
      <c r="C48" s="91"/>
      <c r="D48" s="91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6" x14ac:dyDescent="0.35">
      <c r="A49" s="4"/>
      <c r="B49" s="91"/>
      <c r="C49" s="91"/>
      <c r="D49" s="91"/>
      <c r="E49" s="4"/>
      <c r="F49" s="4"/>
    </row>
  </sheetData>
  <mergeCells count="16">
    <mergeCell ref="B34:D34"/>
    <mergeCell ref="B35:D35"/>
    <mergeCell ref="A1:M2"/>
    <mergeCell ref="A3:M3"/>
    <mergeCell ref="F4:M4"/>
    <mergeCell ref="B33:D33"/>
    <mergeCell ref="A4:E4"/>
    <mergeCell ref="B19:D19"/>
    <mergeCell ref="B6:D6"/>
    <mergeCell ref="B8:D8"/>
    <mergeCell ref="B32:D32"/>
    <mergeCell ref="B31:D31"/>
    <mergeCell ref="C22:D22"/>
    <mergeCell ref="C17:D17"/>
    <mergeCell ref="C29:D29"/>
    <mergeCell ref="G35:I35"/>
  </mergeCells>
  <dataValidations count="1">
    <dataValidation type="list" allowBlank="1" showInputMessage="1" showErrorMessage="1" sqref="B23" xr:uid="{00000000-0002-0000-0000-000000000000}">
      <formula1>IF(C22="Cablu autolimitare",Self,IF(C17="Plastic",Plastic1,IF(C22="Cablu rezistiv",Resistive)))</formula1>
    </dataValidation>
  </dataValidations>
  <pageMargins left="0" right="0" top="0" bottom="0" header="0.31496062992125984" footer="0.31496062992125984"/>
  <pageSetup paperSize="9" scale="75" orientation="landscape" r:id="rId1"/>
  <headerFooter>
    <oddFooter>&amp;C&amp;1#&amp;"Calibri"&amp;10&amp;K000000Classified as Business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Sheet2!$C$11:$C$12</xm:f>
          </x14:formula1>
          <xm:sqref>C22:D22</xm:sqref>
        </x14:dataValidation>
        <x14:dataValidation type="list" allowBlank="1" showInputMessage="1" showErrorMessage="1" xr:uid="{00000000-0002-0000-0000-000002000000}">
          <x14:formula1>
            <xm:f>Sheet2!$C$14:$C$15</xm:f>
          </x14:formula1>
          <xm:sqref>C17:D17</xm:sqref>
        </x14:dataValidation>
        <x14:dataValidation type="list" allowBlank="1" showInputMessage="1" showErrorMessage="1" xr:uid="{00000000-0002-0000-0000-000003000000}">
          <x14:formula1>
            <xm:f>Sheet2!$L$12:$L$14</xm:f>
          </x14:formula1>
          <xm:sqref>C15</xm:sqref>
        </x14:dataValidation>
        <x14:dataValidation type="list" allowBlank="1" showInputMessage="1" showErrorMessage="1" xr:uid="{00000000-0002-0000-0000-000004000000}">
          <x14:formula1>
            <xm:f>Sheet2!$C$18:$C$23</xm:f>
          </x14:formula1>
          <xm:sqref>C29:D29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CAFF-F214-4FE3-9553-ABF9AA04F4D0}">
  <dimension ref="A1:U51"/>
  <sheetViews>
    <sheetView zoomScale="90" zoomScaleNormal="90" workbookViewId="0">
      <selection activeCell="B24" sqref="B24"/>
    </sheetView>
  </sheetViews>
  <sheetFormatPr defaultRowHeight="14.5" x14ac:dyDescent="0.35"/>
  <cols>
    <col min="1" max="1" width="3.54296875" customWidth="1"/>
    <col min="2" max="2" width="25.81640625" style="96" customWidth="1"/>
    <col min="3" max="3" width="11.90625" style="96" customWidth="1"/>
    <col min="4" max="4" width="15.90625" style="96" customWidth="1"/>
    <col min="5" max="5" width="5.36328125" customWidth="1"/>
    <col min="6" max="6" width="3" customWidth="1"/>
    <col min="7" max="7" width="15.08984375" customWidth="1"/>
    <col min="8" max="8" width="19.453125" customWidth="1"/>
    <col min="9" max="9" width="18" customWidth="1"/>
    <col min="10" max="10" width="17.90625" customWidth="1"/>
    <col min="11" max="11" width="16.54296875" customWidth="1"/>
    <col min="12" max="12" width="16.6328125" customWidth="1"/>
    <col min="13" max="13" width="25.54296875" customWidth="1"/>
    <col min="14" max="15" width="14.6328125" bestFit="1" customWidth="1"/>
  </cols>
  <sheetData>
    <row r="1" spans="1:18" x14ac:dyDescent="0.35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8" ht="46.5" customHeight="1" thickBot="1" x14ac:dyDescent="0.4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  <c r="R2" s="1">
        <f>C20/C23</f>
        <v>29.362451218501196</v>
      </c>
    </row>
    <row r="3" spans="1:18" ht="28.5" customHeight="1" thickBot="1" x14ac:dyDescent="0.4">
      <c r="A3" s="114" t="s">
        <v>94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R3" s="1"/>
    </row>
    <row r="4" spans="1:18" ht="39" customHeight="1" thickBot="1" x14ac:dyDescent="0.4">
      <c r="A4" s="120" t="s">
        <v>95</v>
      </c>
      <c r="B4" s="121"/>
      <c r="C4" s="121"/>
      <c r="D4" s="121"/>
      <c r="E4" s="122"/>
      <c r="F4" s="117" t="s">
        <v>96</v>
      </c>
      <c r="G4" s="118"/>
      <c r="H4" s="118"/>
      <c r="I4" s="118"/>
      <c r="J4" s="118"/>
      <c r="K4" s="118"/>
      <c r="L4" s="118"/>
      <c r="M4" s="119"/>
    </row>
    <row r="5" spans="1:18" ht="15" thickBot="1" x14ac:dyDescent="0.4">
      <c r="A5" s="5"/>
      <c r="B5" s="90"/>
      <c r="C5" s="90"/>
      <c r="D5" s="90"/>
      <c r="E5" s="7"/>
      <c r="F5" s="5"/>
      <c r="G5" s="6"/>
      <c r="H5" s="6"/>
      <c r="I5" s="6"/>
      <c r="J5" s="6"/>
      <c r="K5" s="6"/>
      <c r="L5" s="6"/>
      <c r="M5" s="7"/>
    </row>
    <row r="6" spans="1:18" ht="16" thickBot="1" x14ac:dyDescent="0.4">
      <c r="A6" s="8"/>
      <c r="B6" s="126" t="s">
        <v>98</v>
      </c>
      <c r="C6" s="127"/>
      <c r="D6" s="128"/>
      <c r="E6" s="9"/>
      <c r="F6" s="27"/>
      <c r="G6" s="17"/>
      <c r="H6" s="17"/>
      <c r="I6" s="4"/>
      <c r="J6" s="4"/>
      <c r="K6" s="4"/>
      <c r="L6" s="4"/>
      <c r="M6" s="11"/>
    </row>
    <row r="7" spans="1:18" ht="16.5" customHeight="1" thickBot="1" x14ac:dyDescent="0.4">
      <c r="A7" s="8"/>
      <c r="B7" s="3"/>
      <c r="C7" s="3"/>
      <c r="D7" s="3"/>
      <c r="E7" s="9"/>
      <c r="F7" s="25"/>
      <c r="G7" s="26"/>
      <c r="H7" s="26"/>
      <c r="I7" s="4"/>
      <c r="J7" s="4"/>
      <c r="K7" s="4"/>
      <c r="L7" s="4"/>
      <c r="M7" s="11"/>
    </row>
    <row r="8" spans="1:18" ht="18.5" x14ac:dyDescent="0.35">
      <c r="A8" s="8"/>
      <c r="B8" s="129" t="s">
        <v>97</v>
      </c>
      <c r="C8" s="130"/>
      <c r="D8" s="131"/>
      <c r="E8" s="10"/>
      <c r="F8" s="23"/>
      <c r="G8" s="24"/>
      <c r="H8" s="24"/>
      <c r="I8" s="4"/>
      <c r="J8" s="4"/>
      <c r="K8" s="4"/>
      <c r="L8" s="4"/>
      <c r="M8" s="11"/>
    </row>
    <row r="9" spans="1:18" ht="18" customHeight="1" x14ac:dyDescent="0.35">
      <c r="A9" s="8"/>
      <c r="B9" s="64" t="s">
        <v>99</v>
      </c>
      <c r="C9" s="63">
        <v>20</v>
      </c>
      <c r="D9" s="65" t="s">
        <v>44</v>
      </c>
      <c r="E9" s="10"/>
      <c r="F9" s="23"/>
      <c r="G9" s="24"/>
      <c r="H9" s="24"/>
      <c r="I9" s="4"/>
      <c r="J9" s="4"/>
      <c r="K9" s="4"/>
      <c r="L9" s="4"/>
      <c r="M9" s="11"/>
    </row>
    <row r="10" spans="1:18" ht="18" customHeight="1" x14ac:dyDescent="0.35">
      <c r="A10" s="8"/>
      <c r="B10" s="100" t="s">
        <v>100</v>
      </c>
      <c r="C10" s="63">
        <v>42</v>
      </c>
      <c r="D10" s="66" t="s">
        <v>0</v>
      </c>
      <c r="E10" s="11"/>
      <c r="F10" s="31"/>
      <c r="G10" s="16"/>
      <c r="H10" s="24"/>
      <c r="I10" s="4"/>
      <c r="J10" s="4"/>
      <c r="K10" s="4"/>
      <c r="L10" s="4"/>
      <c r="M10" s="11"/>
    </row>
    <row r="11" spans="1:18" ht="15.5" x14ac:dyDescent="0.35">
      <c r="A11" s="8"/>
      <c r="B11" s="98" t="s">
        <v>101</v>
      </c>
      <c r="C11" s="63">
        <v>25</v>
      </c>
      <c r="D11" s="66" t="s">
        <v>0</v>
      </c>
      <c r="E11" s="11"/>
      <c r="F11" s="32"/>
      <c r="G11" s="22"/>
      <c r="H11" s="22"/>
      <c r="I11" s="4"/>
      <c r="J11" s="4"/>
      <c r="K11" s="4"/>
      <c r="L11" s="4"/>
      <c r="M11" s="11"/>
    </row>
    <row r="12" spans="1:18" ht="29" x14ac:dyDescent="0.35">
      <c r="A12" s="8"/>
      <c r="B12" s="100" t="s">
        <v>102</v>
      </c>
      <c r="C12" s="62">
        <v>3.5000000000000003E-2</v>
      </c>
      <c r="D12" s="66" t="s">
        <v>2</v>
      </c>
      <c r="E12" s="11"/>
      <c r="F12" s="32"/>
      <c r="G12" s="22"/>
      <c r="H12" s="22"/>
      <c r="I12" s="4"/>
      <c r="J12" s="4"/>
      <c r="K12" s="4"/>
      <c r="L12" s="4"/>
      <c r="M12" s="11"/>
    </row>
    <row r="13" spans="1:18" ht="15.5" x14ac:dyDescent="0.35">
      <c r="A13" s="8"/>
      <c r="B13" s="98" t="s">
        <v>103</v>
      </c>
      <c r="C13" s="62">
        <v>55</v>
      </c>
      <c r="D13" s="66" t="s">
        <v>3</v>
      </c>
      <c r="E13" s="11"/>
      <c r="F13" s="32"/>
      <c r="G13" s="22"/>
      <c r="H13" s="22"/>
      <c r="I13" s="4"/>
      <c r="J13" s="4"/>
      <c r="K13" s="4"/>
      <c r="L13" s="4"/>
      <c r="M13" s="11"/>
    </row>
    <row r="14" spans="1:18" ht="17.25" customHeight="1" x14ac:dyDescent="0.35">
      <c r="A14" s="8"/>
      <c r="B14" s="100" t="s">
        <v>104</v>
      </c>
      <c r="C14" s="62">
        <v>20</v>
      </c>
      <c r="D14" s="66" t="s">
        <v>3</v>
      </c>
      <c r="E14" s="11"/>
      <c r="F14" s="32"/>
      <c r="G14" s="22"/>
      <c r="H14" s="22"/>
      <c r="I14" s="4"/>
      <c r="J14" s="4"/>
      <c r="K14" s="4"/>
      <c r="L14" s="4"/>
      <c r="M14" s="11"/>
    </row>
    <row r="15" spans="1:18" ht="17.25" customHeight="1" x14ac:dyDescent="0.35">
      <c r="A15" s="8"/>
      <c r="B15" s="98" t="s">
        <v>105</v>
      </c>
      <c r="C15" s="62">
        <v>230</v>
      </c>
      <c r="D15" s="66" t="s">
        <v>51</v>
      </c>
      <c r="E15" s="11"/>
      <c r="F15" s="32"/>
      <c r="G15" s="22"/>
      <c r="H15" s="22"/>
      <c r="I15" s="4"/>
      <c r="J15" s="4"/>
      <c r="K15" s="4"/>
      <c r="L15" s="4"/>
      <c r="M15" s="11"/>
    </row>
    <row r="16" spans="1:18" ht="17.25" customHeight="1" x14ac:dyDescent="0.35">
      <c r="A16" s="8"/>
      <c r="B16" s="98" t="s">
        <v>106</v>
      </c>
      <c r="C16" s="62">
        <v>1.3</v>
      </c>
      <c r="D16" s="67" t="s">
        <v>108</v>
      </c>
      <c r="E16" s="11"/>
      <c r="F16" s="32"/>
      <c r="G16" s="22"/>
      <c r="H16" s="22"/>
      <c r="I16" s="4"/>
      <c r="J16" s="4"/>
      <c r="K16" s="4"/>
      <c r="L16" s="4"/>
      <c r="M16" s="11"/>
    </row>
    <row r="17" spans="1:13" ht="17.25" customHeight="1" thickBot="1" x14ac:dyDescent="0.4">
      <c r="A17" s="8"/>
      <c r="B17" s="99" t="s">
        <v>107</v>
      </c>
      <c r="C17" s="135" t="s">
        <v>46</v>
      </c>
      <c r="D17" s="136"/>
      <c r="E17" s="11"/>
      <c r="F17" s="32"/>
      <c r="G17" s="22"/>
      <c r="H17" s="22"/>
      <c r="I17" s="4"/>
      <c r="J17" s="4"/>
      <c r="K17" s="4"/>
      <c r="L17" s="4"/>
      <c r="M17" s="11"/>
    </row>
    <row r="18" spans="1:13" ht="17.25" customHeight="1" thickBot="1" x14ac:dyDescent="0.4">
      <c r="A18" s="8"/>
      <c r="B18" s="91"/>
      <c r="C18" s="91"/>
      <c r="D18" s="91"/>
      <c r="E18" s="11"/>
      <c r="F18" s="32"/>
      <c r="G18" s="22"/>
      <c r="H18" s="22"/>
      <c r="I18" s="4"/>
      <c r="J18" s="4"/>
      <c r="K18" s="4"/>
      <c r="L18" s="4"/>
      <c r="M18" s="11"/>
    </row>
    <row r="19" spans="1:13" ht="17.25" customHeight="1" x14ac:dyDescent="0.35">
      <c r="A19" s="8"/>
      <c r="B19" s="123" t="s">
        <v>109</v>
      </c>
      <c r="C19" s="124"/>
      <c r="D19" s="125"/>
      <c r="E19" s="11"/>
      <c r="F19" s="32"/>
      <c r="G19" s="22"/>
      <c r="H19" s="22"/>
      <c r="I19" s="4"/>
      <c r="J19" s="4"/>
      <c r="K19" s="4"/>
      <c r="L19" s="4"/>
      <c r="M19" s="11"/>
    </row>
    <row r="20" spans="1:13" ht="31" x14ac:dyDescent="0.35">
      <c r="A20" s="8"/>
      <c r="B20" s="68" t="s">
        <v>110</v>
      </c>
      <c r="C20" s="86">
        <f>(2*3.14*C12*(C13-C14)*C16/LN((C10+2*C11)/C10))*C9</f>
        <v>255.08629496072913</v>
      </c>
      <c r="D20" s="69" t="s">
        <v>47</v>
      </c>
      <c r="E20" s="11"/>
      <c r="F20" s="32"/>
      <c r="G20" s="22"/>
      <c r="H20" s="22"/>
      <c r="I20" s="4"/>
      <c r="J20" s="4"/>
      <c r="K20" s="4"/>
      <c r="L20" s="4"/>
      <c r="M20" s="11"/>
    </row>
    <row r="21" spans="1:13" ht="15.75" customHeight="1" x14ac:dyDescent="0.35">
      <c r="A21" s="8"/>
      <c r="B21" s="70"/>
      <c r="C21" s="14"/>
      <c r="D21" s="71"/>
      <c r="E21" s="11"/>
      <c r="F21" s="8"/>
      <c r="G21" s="4"/>
      <c r="H21" s="4"/>
      <c r="I21" s="4"/>
      <c r="J21" s="4"/>
      <c r="K21" s="4"/>
      <c r="L21" s="4"/>
      <c r="M21" s="11"/>
    </row>
    <row r="22" spans="1:13" ht="15.75" customHeight="1" x14ac:dyDescent="0.35">
      <c r="A22" s="8"/>
      <c r="B22" s="72" t="s">
        <v>111</v>
      </c>
      <c r="C22" s="133" t="s">
        <v>124</v>
      </c>
      <c r="D22" s="134"/>
      <c r="E22" s="11"/>
      <c r="F22" s="8"/>
      <c r="G22" s="4"/>
      <c r="H22" s="4"/>
      <c r="I22" s="4"/>
      <c r="J22" s="4"/>
      <c r="K22" s="4"/>
      <c r="L22" s="4"/>
      <c r="M22" s="11"/>
    </row>
    <row r="23" spans="1:13" ht="17.25" customHeight="1" x14ac:dyDescent="0.35">
      <c r="A23" s="8"/>
      <c r="B23" s="89" t="s">
        <v>77</v>
      </c>
      <c r="C23" s="83">
        <f>IF(AND(C22="Cablu rezistiv",C15=230),VLOOKUP(B23,Sheet3!B16:D24,2,0),IF(AND(C15=230,C22="Cablu autolimitare"),VLOOKUP(B23,Sheet3!F16:H26,2,0),IF(AND(C22="Cablu rezistiv",C15=220),VLOOKUP(B23,Sheet3!B30:D38,2,0),IF(AND(C15=220,C22="Cablu autolimitare"),VLOOKUP(B23,Sheet3!F30:H41,2,0),IF(AND(C22="Cablu rezistiv",C15=240),VLOOKUP(B23,Sheet3!B44:D52,2,0),IF(AND(C15=240,C22="Cablu autolimitare"),VLOOKUP(B23,Sheet3!F44:H55,2,0)))))))</f>
        <v>8.6875</v>
      </c>
      <c r="D23" s="82" t="str">
        <f>IF(C22="Resistive cable","W/m",TEXT("W/m @ "&amp; C13 &amp; " °C",))</f>
        <v>W/m @ 55 °C</v>
      </c>
      <c r="E23" s="11"/>
      <c r="F23" s="8"/>
      <c r="G23" s="4"/>
      <c r="H23" s="4"/>
      <c r="I23" s="4"/>
      <c r="J23" s="4"/>
      <c r="K23" s="4"/>
      <c r="L23" s="4"/>
      <c r="M23" s="11"/>
    </row>
    <row r="24" spans="1:13" ht="31" x14ac:dyDescent="0.35">
      <c r="A24" s="8"/>
      <c r="B24" s="101" t="s">
        <v>126</v>
      </c>
      <c r="C24" s="87">
        <f>ROUNDUP(C20/C23,0)</f>
        <v>30</v>
      </c>
      <c r="D24" s="84" t="s">
        <v>44</v>
      </c>
      <c r="E24" s="11"/>
      <c r="F24" s="8"/>
      <c r="G24" s="4"/>
      <c r="H24" s="4"/>
      <c r="I24" s="4"/>
      <c r="J24" s="4"/>
      <c r="K24" s="4"/>
      <c r="L24" s="4"/>
      <c r="M24" s="11"/>
    </row>
    <row r="25" spans="1:13" ht="46.5" x14ac:dyDescent="0.35">
      <c r="A25" s="8"/>
      <c r="B25" s="102" t="s">
        <v>125</v>
      </c>
      <c r="C25" s="88">
        <f>IF(C24&gt;C9,(C9*3.14*C10*0.001)/(SQRT(C24*C24-C9*C9))*100,"Use INLINE installation")</f>
        <v>11.79570579490689</v>
      </c>
      <c r="D25" s="85" t="s">
        <v>92</v>
      </c>
      <c r="E25" s="11"/>
      <c r="F25" s="8"/>
      <c r="G25" s="4"/>
      <c r="H25" s="4"/>
      <c r="I25" s="4"/>
      <c r="J25" s="4"/>
      <c r="K25" s="4"/>
      <c r="L25" s="4"/>
      <c r="M25" s="11"/>
    </row>
    <row r="26" spans="1:13" ht="73.5" customHeight="1" x14ac:dyDescent="0.35">
      <c r="A26" s="8"/>
      <c r="B26" s="142"/>
      <c r="C26" s="143"/>
      <c r="D26" s="144"/>
      <c r="E26" s="11"/>
      <c r="F26" s="8"/>
      <c r="G26" s="4"/>
      <c r="H26" s="4"/>
      <c r="I26" s="4"/>
      <c r="J26" s="4"/>
      <c r="K26" s="4"/>
      <c r="L26" s="4"/>
      <c r="M26" s="11"/>
    </row>
    <row r="27" spans="1:13" ht="31" x14ac:dyDescent="0.35">
      <c r="A27" s="8"/>
      <c r="B27" s="80" t="s">
        <v>113</v>
      </c>
      <c r="C27" s="61">
        <v>0</v>
      </c>
      <c r="D27" s="85" t="s">
        <v>93</v>
      </c>
      <c r="E27" s="11"/>
      <c r="F27" s="8"/>
      <c r="G27" s="4"/>
      <c r="H27" s="4"/>
      <c r="I27" s="4"/>
      <c r="J27" s="4"/>
      <c r="K27" s="4"/>
      <c r="L27" s="4"/>
      <c r="M27" s="11"/>
    </row>
    <row r="28" spans="1:13" ht="17.25" customHeight="1" x14ac:dyDescent="0.35">
      <c r="A28" s="8"/>
      <c r="B28" s="92" t="s">
        <v>114</v>
      </c>
      <c r="C28" s="88">
        <f>C24+0.5*C27</f>
        <v>30</v>
      </c>
      <c r="D28" s="74" t="s">
        <v>44</v>
      </c>
      <c r="E28" s="11"/>
      <c r="F28" s="8"/>
      <c r="G28" s="4"/>
      <c r="H28" s="4"/>
      <c r="I28" s="4"/>
      <c r="J28" s="4"/>
      <c r="K28" s="4"/>
      <c r="L28" s="4"/>
      <c r="M28" s="11"/>
    </row>
    <row r="29" spans="1:13" ht="17.25" customHeight="1" x14ac:dyDescent="0.35">
      <c r="A29" s="8"/>
      <c r="B29" s="92" t="s">
        <v>115</v>
      </c>
      <c r="C29" s="88">
        <f>C28*C23</f>
        <v>260.625</v>
      </c>
      <c r="D29" s="97" t="s">
        <v>47</v>
      </c>
      <c r="E29" s="11"/>
      <c r="F29" s="8"/>
      <c r="G29" s="4"/>
      <c r="H29" s="4"/>
      <c r="I29" s="4"/>
      <c r="J29" s="4"/>
      <c r="K29" s="4"/>
      <c r="L29" s="4"/>
      <c r="M29" s="11"/>
    </row>
    <row r="30" spans="1:13" ht="17.25" customHeight="1" x14ac:dyDescent="0.35">
      <c r="A30" s="8"/>
      <c r="B30" s="93" t="s">
        <v>116</v>
      </c>
      <c r="C30" s="88">
        <f>IF(C17="Plastic", C28*2,C28)</f>
        <v>60</v>
      </c>
      <c r="D30" s="97" t="s">
        <v>44</v>
      </c>
      <c r="E30" s="11"/>
      <c r="F30" s="8"/>
      <c r="G30" s="4"/>
      <c r="H30" s="4"/>
      <c r="I30" s="4"/>
      <c r="J30" s="4"/>
      <c r="K30" s="4"/>
      <c r="L30" s="4"/>
      <c r="M30" s="11"/>
    </row>
    <row r="31" spans="1:13" ht="30.75" customHeight="1" thickBot="1" x14ac:dyDescent="0.4">
      <c r="A31" s="8"/>
      <c r="B31" s="75" t="s">
        <v>117</v>
      </c>
      <c r="C31" s="137" t="s">
        <v>82</v>
      </c>
      <c r="D31" s="138"/>
      <c r="E31" s="11"/>
      <c r="F31" s="8"/>
      <c r="G31" s="4"/>
      <c r="H31" s="4"/>
      <c r="I31" s="4"/>
      <c r="J31" s="4"/>
      <c r="K31" s="4"/>
      <c r="L31" s="4"/>
      <c r="M31" s="11"/>
    </row>
    <row r="32" spans="1:13" ht="15.5" x14ac:dyDescent="0.35">
      <c r="A32" s="8"/>
      <c r="B32" s="94"/>
      <c r="C32" s="3"/>
      <c r="D32" s="94"/>
      <c r="E32" s="11"/>
      <c r="F32" s="8"/>
      <c r="G32" s="4"/>
      <c r="H32" s="4"/>
      <c r="I32" s="4"/>
      <c r="J32" s="4"/>
      <c r="K32" s="4"/>
      <c r="L32" s="4"/>
      <c r="M32" s="11"/>
    </row>
    <row r="33" spans="1:21" ht="18.5" x14ac:dyDescent="0.35">
      <c r="A33" s="8"/>
      <c r="B33" s="132" t="s">
        <v>118</v>
      </c>
      <c r="C33" s="132"/>
      <c r="D33" s="132"/>
      <c r="E33" s="11"/>
      <c r="F33" s="8"/>
      <c r="G33" s="4"/>
      <c r="H33" s="4"/>
      <c r="I33" s="4"/>
      <c r="J33" s="4"/>
      <c r="K33" s="4"/>
      <c r="L33" s="4"/>
      <c r="M33" s="11"/>
    </row>
    <row r="34" spans="1:21" ht="65.25" customHeight="1" x14ac:dyDescent="0.35">
      <c r="A34" s="8"/>
      <c r="B34" s="103" t="s">
        <v>119</v>
      </c>
      <c r="C34" s="103"/>
      <c r="D34" s="103"/>
      <c r="E34" s="11"/>
      <c r="F34" s="8"/>
      <c r="G34" s="4"/>
      <c r="H34" s="4"/>
      <c r="I34" s="4"/>
      <c r="J34" s="4"/>
      <c r="K34" s="4"/>
      <c r="L34" s="4"/>
      <c r="M34" s="11"/>
    </row>
    <row r="35" spans="1:21" ht="32.25" customHeight="1" x14ac:dyDescent="0.35">
      <c r="A35" s="8"/>
      <c r="B35" s="103" t="s">
        <v>120</v>
      </c>
      <c r="C35" s="103"/>
      <c r="D35" s="103"/>
      <c r="E35" s="11"/>
      <c r="F35" s="33"/>
      <c r="G35" s="20"/>
      <c r="H35" s="20"/>
      <c r="I35" s="20"/>
      <c r="J35" s="20"/>
      <c r="K35" s="20"/>
      <c r="L35" s="20"/>
      <c r="M35" s="45"/>
    </row>
    <row r="36" spans="1:21" ht="51.75" customHeight="1" thickBot="1" x14ac:dyDescent="0.4">
      <c r="A36" s="8"/>
      <c r="B36" s="103" t="s">
        <v>121</v>
      </c>
      <c r="C36" s="104"/>
      <c r="D36" s="104"/>
      <c r="E36" s="11"/>
      <c r="F36" s="27"/>
      <c r="G36" s="20"/>
      <c r="H36" s="20"/>
      <c r="I36" s="20"/>
      <c r="J36" s="20"/>
      <c r="K36" s="20"/>
      <c r="L36" s="20"/>
      <c r="M36" s="45"/>
      <c r="N36" s="17"/>
      <c r="O36" s="17"/>
      <c r="P36" s="17"/>
      <c r="Q36" s="17"/>
      <c r="R36" s="17"/>
      <c r="S36" s="17"/>
      <c r="T36" s="17"/>
      <c r="U36" s="4"/>
    </row>
    <row r="37" spans="1:21" ht="31.5" customHeight="1" thickBot="1" x14ac:dyDescent="0.4">
      <c r="A37" s="8"/>
      <c r="B37" s="105" t="s">
        <v>122</v>
      </c>
      <c r="C37" s="106"/>
      <c r="D37" s="107"/>
      <c r="E37" s="11"/>
      <c r="F37" s="25"/>
      <c r="G37" s="139" t="s">
        <v>67</v>
      </c>
      <c r="H37" s="140"/>
      <c r="I37" s="141"/>
      <c r="J37" s="20"/>
      <c r="K37" s="20"/>
      <c r="L37" s="20"/>
      <c r="M37" s="45"/>
      <c r="N37" s="26"/>
      <c r="O37" s="26"/>
      <c r="P37" s="26"/>
      <c r="Q37" s="26"/>
      <c r="R37" s="26"/>
      <c r="S37" s="26"/>
      <c r="T37" s="26"/>
      <c r="U37" s="4"/>
    </row>
    <row r="38" spans="1:21" ht="16" thickBot="1" x14ac:dyDescent="0.4">
      <c r="A38" s="12"/>
      <c r="B38" s="95"/>
      <c r="C38" s="95"/>
      <c r="D38" s="95"/>
      <c r="E38" s="13"/>
      <c r="F38" s="49"/>
      <c r="G38" s="50"/>
      <c r="H38" s="51"/>
      <c r="I38" s="51"/>
      <c r="J38" s="51"/>
      <c r="K38" s="51"/>
      <c r="L38" s="51"/>
      <c r="M38" s="52"/>
      <c r="N38" s="21"/>
      <c r="O38" s="21"/>
      <c r="P38" s="21"/>
      <c r="Q38" s="21"/>
      <c r="R38" s="19"/>
      <c r="S38" s="19"/>
      <c r="T38" s="19"/>
      <c r="U38" s="4"/>
    </row>
    <row r="39" spans="1:21" ht="15.5" x14ac:dyDescent="0.35">
      <c r="A39" s="4"/>
      <c r="B39" s="91"/>
      <c r="C39" s="91"/>
      <c r="D39" s="91"/>
      <c r="E39" s="4"/>
      <c r="F39" s="24"/>
      <c r="G39" s="41"/>
      <c r="H39" s="42"/>
      <c r="I39" s="42"/>
      <c r="J39" s="42"/>
      <c r="K39" s="43"/>
      <c r="L39" s="42"/>
      <c r="M39" s="43"/>
      <c r="N39" s="19"/>
      <c r="O39" s="19"/>
      <c r="P39" s="19"/>
      <c r="Q39" s="19"/>
      <c r="R39" s="19"/>
      <c r="S39" s="19"/>
      <c r="T39" s="19"/>
      <c r="U39" s="4"/>
    </row>
    <row r="40" spans="1:21" ht="15.5" x14ac:dyDescent="0.35">
      <c r="A40" s="4"/>
      <c r="B40" s="91"/>
      <c r="C40" s="91"/>
      <c r="D40" s="91"/>
      <c r="E40" s="4"/>
      <c r="F40" s="24"/>
      <c r="G40" s="41"/>
      <c r="H40" s="43"/>
      <c r="I40" s="43"/>
      <c r="J40" s="43"/>
      <c r="K40" s="43"/>
      <c r="L40" s="43"/>
      <c r="M40" s="43"/>
      <c r="N40" s="19"/>
      <c r="O40" s="19"/>
      <c r="P40" s="19"/>
      <c r="Q40" s="19"/>
      <c r="R40" s="19"/>
      <c r="S40" s="19"/>
      <c r="T40" s="19"/>
      <c r="U40" s="4"/>
    </row>
    <row r="41" spans="1:21" x14ac:dyDescent="0.35">
      <c r="A41" s="4"/>
      <c r="B41" s="91"/>
      <c r="C41" s="91"/>
      <c r="D41" s="91"/>
      <c r="E41" s="4"/>
      <c r="F41" s="48"/>
      <c r="G41" s="4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5.75" customHeight="1" x14ac:dyDescent="0.35">
      <c r="A42" s="4"/>
      <c r="B42" s="91"/>
      <c r="C42" s="91"/>
      <c r="D42" s="91"/>
      <c r="E42" s="4"/>
      <c r="F42" s="4"/>
      <c r="G42" s="24"/>
      <c r="H42" s="20"/>
      <c r="I42" s="20"/>
      <c r="J42" s="20"/>
      <c r="K42" s="20"/>
      <c r="L42" s="20"/>
      <c r="M42" s="20"/>
      <c r="N42" s="4"/>
    </row>
    <row r="43" spans="1:21" ht="15.5" x14ac:dyDescent="0.35">
      <c r="A43" s="4"/>
      <c r="B43" s="91"/>
      <c r="C43" s="91"/>
      <c r="D43" s="91"/>
      <c r="E43" s="4"/>
      <c r="F43" s="4"/>
      <c r="G43" s="24"/>
      <c r="H43" s="40"/>
      <c r="I43" s="40"/>
      <c r="J43" s="40"/>
      <c r="K43" s="40"/>
      <c r="L43" s="40"/>
      <c r="M43" s="40"/>
      <c r="N43" s="4"/>
    </row>
    <row r="44" spans="1:21" ht="15.5" x14ac:dyDescent="0.35">
      <c r="A44" s="4"/>
      <c r="B44" s="91"/>
      <c r="C44" s="91"/>
      <c r="D44" s="91"/>
      <c r="E44" s="4"/>
      <c r="F44" s="4"/>
      <c r="G44" s="41"/>
      <c r="H44" s="43"/>
      <c r="I44" s="43"/>
      <c r="J44" s="43"/>
      <c r="K44" s="43"/>
      <c r="L44" s="43"/>
      <c r="M44" s="43"/>
      <c r="N44" s="4"/>
    </row>
    <row r="45" spans="1:21" ht="15.5" x14ac:dyDescent="0.35">
      <c r="A45" s="4"/>
      <c r="B45" s="91"/>
      <c r="C45" s="91"/>
      <c r="D45" s="91"/>
      <c r="E45" s="4"/>
      <c r="F45" s="4"/>
      <c r="G45" s="41"/>
      <c r="H45" s="43"/>
      <c r="I45" s="43"/>
      <c r="J45" s="43"/>
      <c r="K45" s="43"/>
      <c r="L45" s="43"/>
      <c r="M45" s="43"/>
      <c r="N45" s="4"/>
    </row>
    <row r="46" spans="1:21" x14ac:dyDescent="0.35">
      <c r="A46" s="4"/>
      <c r="B46" s="91"/>
      <c r="C46" s="91"/>
      <c r="D46" s="91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21" x14ac:dyDescent="0.35">
      <c r="A47" s="4"/>
      <c r="B47" s="91"/>
      <c r="C47" s="91"/>
      <c r="D47" s="91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21" x14ac:dyDescent="0.35">
      <c r="A48" s="4"/>
      <c r="B48" s="91"/>
      <c r="C48" s="91"/>
      <c r="D48" s="91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35">
      <c r="A49" s="4"/>
      <c r="B49" s="91"/>
      <c r="C49" s="91"/>
      <c r="D49" s="91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35">
      <c r="A50" s="4"/>
      <c r="B50" s="91"/>
      <c r="C50" s="91"/>
      <c r="D50" s="91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35">
      <c r="A51" s="4"/>
      <c r="B51" s="91"/>
      <c r="C51" s="91"/>
      <c r="D51" s="91"/>
      <c r="E51" s="4"/>
      <c r="F51" s="4"/>
    </row>
  </sheetData>
  <mergeCells count="17">
    <mergeCell ref="B35:D35"/>
    <mergeCell ref="B36:D36"/>
    <mergeCell ref="B37:D37"/>
    <mergeCell ref="G37:I37"/>
    <mergeCell ref="B26:D26"/>
    <mergeCell ref="B34:D34"/>
    <mergeCell ref="C17:D17"/>
    <mergeCell ref="B19:D19"/>
    <mergeCell ref="C22:D22"/>
    <mergeCell ref="C31:D31"/>
    <mergeCell ref="B33:D33"/>
    <mergeCell ref="B8:D8"/>
    <mergeCell ref="A1:M2"/>
    <mergeCell ref="A3:M3"/>
    <mergeCell ref="A4:E4"/>
    <mergeCell ref="F4:M4"/>
    <mergeCell ref="B6:D6"/>
  </mergeCells>
  <dataValidations count="1">
    <dataValidation type="list" allowBlank="1" showInputMessage="1" showErrorMessage="1" sqref="B23" xr:uid="{B94A7323-39A4-4A69-A803-50E811F90DAB}">
      <formula1>IF(C22="Cablu autolimitare",Self,IF(C17="Plastic",Plastic1,IF(C22="Cablu rezistiv",Resistive)))</formula1>
    </dataValidation>
  </dataValidations>
  <pageMargins left="0" right="0" top="0" bottom="0" header="0.31496062992125984" footer="0.31496062992125984"/>
  <pageSetup paperSize="9" scale="75" orientation="landscape" r:id="rId1"/>
  <headerFooter>
    <oddFooter>&amp;C&amp;1#&amp;"Calibri"&amp;10&amp;K000000Classified as Business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6908F18-6685-4312-8FB2-5E7EAB9ECF43}">
          <x14:formula1>
            <xm:f>Sheet2!$C$18:$C$23</xm:f>
          </x14:formula1>
          <xm:sqref>C31:D31</xm:sqref>
        </x14:dataValidation>
        <x14:dataValidation type="list" allowBlank="1" showInputMessage="1" showErrorMessage="1" xr:uid="{F6E36733-6151-4091-B248-E1C19E2C8A3E}">
          <x14:formula1>
            <xm:f>Sheet2!$L$12:$L$14</xm:f>
          </x14:formula1>
          <xm:sqref>C15</xm:sqref>
        </x14:dataValidation>
        <x14:dataValidation type="list" allowBlank="1" showInputMessage="1" showErrorMessage="1" xr:uid="{032BE535-E393-4875-9CC2-C518EBF6BB13}">
          <x14:formula1>
            <xm:f>Sheet2!$C$14:$C$15</xm:f>
          </x14:formula1>
          <xm:sqref>C17:D17</xm:sqref>
        </x14:dataValidation>
        <x14:dataValidation type="list" allowBlank="1" showInputMessage="1" showErrorMessage="1" xr:uid="{51D5A4B4-21F9-496D-8DB6-0046C123EF38}">
          <x14:formula1>
            <xm:f>Sheet2!$C$11:$C$12</xm:f>
          </x14:formula1>
          <xm:sqref>C22:D22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23"/>
  <sheetViews>
    <sheetView workbookViewId="0">
      <selection activeCell="F17" sqref="F17"/>
    </sheetView>
  </sheetViews>
  <sheetFormatPr defaultRowHeight="14.5" x14ac:dyDescent="0.35"/>
  <cols>
    <col min="1" max="1" width="2.453125" customWidth="1"/>
    <col min="2" max="2" width="11.54296875" bestFit="1" customWidth="1"/>
    <col min="3" max="3" width="15.453125" customWidth="1"/>
    <col min="4" max="5" width="4.08984375" bestFit="1" customWidth="1"/>
    <col min="6" max="6" width="3.36328125" bestFit="1" customWidth="1"/>
    <col min="7" max="8" width="5.90625" bestFit="1" customWidth="1"/>
    <col min="9" max="9" width="3.36328125" bestFit="1" customWidth="1"/>
    <col min="10" max="10" width="5.90625" bestFit="1" customWidth="1"/>
    <col min="11" max="11" width="3.36328125" bestFit="1" customWidth="1"/>
    <col min="12" max="12" width="5.90625" bestFit="1" customWidth="1"/>
    <col min="13" max="13" width="4.453125" bestFit="1" customWidth="1"/>
    <col min="14" max="14" width="5.90625" bestFit="1" customWidth="1"/>
    <col min="15" max="15" width="4.453125" customWidth="1"/>
    <col min="16" max="19" width="4.453125" bestFit="1" customWidth="1"/>
  </cols>
  <sheetData>
    <row r="2" spans="1:24" ht="15.5" x14ac:dyDescent="0.35">
      <c r="A2" s="4"/>
      <c r="B2" s="147" t="s">
        <v>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24" ht="15.5" x14ac:dyDescent="0.35">
      <c r="A3" s="4"/>
      <c r="B3" s="146" t="s">
        <v>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24" ht="15.5" x14ac:dyDescent="0.35">
      <c r="A4" s="4"/>
      <c r="B4" s="148" t="s">
        <v>6</v>
      </c>
      <c r="C4" s="15" t="s">
        <v>8</v>
      </c>
      <c r="D4" s="55" t="s">
        <v>9</v>
      </c>
      <c r="E4" s="55" t="s">
        <v>10</v>
      </c>
      <c r="F4" s="55" t="s">
        <v>11</v>
      </c>
      <c r="G4" s="55" t="s">
        <v>86</v>
      </c>
      <c r="H4" s="55" t="s">
        <v>12</v>
      </c>
      <c r="I4" s="55" t="s">
        <v>13</v>
      </c>
      <c r="J4" s="55" t="s">
        <v>14</v>
      </c>
      <c r="K4" s="55" t="s">
        <v>15</v>
      </c>
      <c r="L4" s="55" t="s">
        <v>16</v>
      </c>
      <c r="M4" s="55" t="s">
        <v>17</v>
      </c>
      <c r="N4" s="55" t="s">
        <v>18</v>
      </c>
      <c r="O4" s="55" t="s">
        <v>19</v>
      </c>
      <c r="P4" s="55" t="s">
        <v>20</v>
      </c>
      <c r="Q4" s="55">
        <v>8</v>
      </c>
      <c r="R4" s="55">
        <v>10</v>
      </c>
      <c r="S4" s="55">
        <v>12</v>
      </c>
    </row>
    <row r="5" spans="1:24" ht="15.5" x14ac:dyDescent="0.35">
      <c r="A5" s="4"/>
      <c r="B5" s="148"/>
      <c r="C5" s="15" t="s">
        <v>7</v>
      </c>
      <c r="D5" s="2">
        <v>15</v>
      </c>
      <c r="E5" s="2">
        <v>20</v>
      </c>
      <c r="F5" s="2">
        <v>25</v>
      </c>
      <c r="G5" s="2">
        <v>32</v>
      </c>
      <c r="H5" s="2">
        <v>40</v>
      </c>
      <c r="I5" s="2">
        <v>50</v>
      </c>
      <c r="J5" s="2">
        <v>65</v>
      </c>
      <c r="K5" s="2">
        <v>80</v>
      </c>
      <c r="L5" s="2">
        <v>90</v>
      </c>
      <c r="M5" s="2">
        <v>100</v>
      </c>
      <c r="N5" s="2">
        <v>115</v>
      </c>
      <c r="O5" s="2">
        <v>125</v>
      </c>
      <c r="P5" s="2">
        <v>150</v>
      </c>
      <c r="Q5" s="2">
        <v>200</v>
      </c>
      <c r="R5" s="2">
        <v>250</v>
      </c>
      <c r="S5" s="2">
        <v>300</v>
      </c>
    </row>
    <row r="6" spans="1:24" ht="30" customHeight="1" x14ac:dyDescent="0.35">
      <c r="A6" s="4"/>
      <c r="B6" s="148" t="s">
        <v>38</v>
      </c>
      <c r="C6" s="148"/>
      <c r="D6" s="2">
        <v>21</v>
      </c>
      <c r="E6" s="2">
        <v>27</v>
      </c>
      <c r="F6" s="2">
        <v>34</v>
      </c>
      <c r="G6" s="2">
        <v>42</v>
      </c>
      <c r="H6" s="2">
        <v>48</v>
      </c>
      <c r="I6" s="2">
        <v>60</v>
      </c>
      <c r="J6" s="2">
        <v>73</v>
      </c>
      <c r="K6" s="2">
        <v>89</v>
      </c>
      <c r="L6" s="2">
        <v>102</v>
      </c>
      <c r="M6" s="2">
        <v>114</v>
      </c>
      <c r="N6" s="2">
        <v>127</v>
      </c>
      <c r="O6" s="2">
        <v>141</v>
      </c>
      <c r="P6" s="2">
        <v>168</v>
      </c>
      <c r="Q6" s="2">
        <v>219</v>
      </c>
      <c r="R6" s="2">
        <v>273</v>
      </c>
      <c r="S6" s="2">
        <v>324</v>
      </c>
    </row>
    <row r="7" spans="1:24" ht="15.75" customHeight="1" x14ac:dyDescent="0.35">
      <c r="A7" s="4"/>
      <c r="B7" s="145" t="s">
        <v>37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24" x14ac:dyDescent="0.35">
      <c r="A8" s="4"/>
      <c r="B8" s="145" t="s">
        <v>39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24" x14ac:dyDescent="0.35">
      <c r="A9" s="4"/>
    </row>
    <row r="11" spans="1:24" x14ac:dyDescent="0.35">
      <c r="C11" t="s">
        <v>123</v>
      </c>
      <c r="L11" s="56" t="s">
        <v>61</v>
      </c>
    </row>
    <row r="12" spans="1:24" x14ac:dyDescent="0.35">
      <c r="C12" t="s">
        <v>124</v>
      </c>
      <c r="L12" s="57">
        <v>220</v>
      </c>
      <c r="V12" t="s">
        <v>87</v>
      </c>
      <c r="W12">
        <v>230</v>
      </c>
      <c r="X12" t="s">
        <v>51</v>
      </c>
    </row>
    <row r="13" spans="1:24" x14ac:dyDescent="0.35">
      <c r="L13" s="57">
        <v>230</v>
      </c>
      <c r="V13" t="s">
        <v>88</v>
      </c>
      <c r="W13">
        <v>24</v>
      </c>
      <c r="X13" t="s">
        <v>51</v>
      </c>
    </row>
    <row r="14" spans="1:24" x14ac:dyDescent="0.35">
      <c r="C14" t="s">
        <v>45</v>
      </c>
      <c r="L14" s="57">
        <v>240</v>
      </c>
      <c r="V14" t="s">
        <v>89</v>
      </c>
      <c r="W14">
        <v>33</v>
      </c>
      <c r="X14" t="s">
        <v>1</v>
      </c>
    </row>
    <row r="15" spans="1:24" x14ac:dyDescent="0.35">
      <c r="C15" t="s">
        <v>46</v>
      </c>
      <c r="L15" s="57"/>
      <c r="V15" t="s">
        <v>90</v>
      </c>
      <c r="W15" s="79">
        <f>W14/(W12*W12/(W13*W13))</f>
        <v>0.35931947069943293</v>
      </c>
      <c r="X15" t="s">
        <v>1</v>
      </c>
    </row>
    <row r="16" spans="1:24" x14ac:dyDescent="0.35">
      <c r="L16" s="57"/>
    </row>
    <row r="18" spans="3:3" x14ac:dyDescent="0.35">
      <c r="C18" t="s">
        <v>82</v>
      </c>
    </row>
    <row r="19" spans="3:3" x14ac:dyDescent="0.35">
      <c r="C19" t="s">
        <v>83</v>
      </c>
    </row>
    <row r="20" spans="3:3" x14ac:dyDescent="0.35">
      <c r="C20" t="s">
        <v>74</v>
      </c>
    </row>
    <row r="21" spans="3:3" x14ac:dyDescent="0.35">
      <c r="C21" t="s">
        <v>84</v>
      </c>
    </row>
    <row r="22" spans="3:3" x14ac:dyDescent="0.35">
      <c r="C22" t="s">
        <v>85</v>
      </c>
    </row>
    <row r="23" spans="3:3" x14ac:dyDescent="0.35">
      <c r="C23" t="s">
        <v>48</v>
      </c>
    </row>
  </sheetData>
  <mergeCells count="6">
    <mergeCell ref="B8:L8"/>
    <mergeCell ref="B3:S3"/>
    <mergeCell ref="B2:S2"/>
    <mergeCell ref="B7:L7"/>
    <mergeCell ref="B6:C6"/>
    <mergeCell ref="B4:B5"/>
  </mergeCells>
  <pageMargins left="0.7" right="0.7" top="0.75" bottom="0.75" header="0.3" footer="0.3"/>
  <pageSetup paperSize="9" orientation="portrait" r:id="rId1"/>
  <headerFooter>
    <oddFooter>&amp;C&amp;1#&amp;"Calibri"&amp;10&amp;K000000Classified as Business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55"/>
  <sheetViews>
    <sheetView topLeftCell="A13" workbookViewId="0">
      <selection activeCell="G30" sqref="G30"/>
    </sheetView>
  </sheetViews>
  <sheetFormatPr defaultRowHeight="14.5" x14ac:dyDescent="0.35"/>
  <cols>
    <col min="2" max="2" width="19.6328125" style="35" customWidth="1"/>
    <col min="3" max="3" width="18.90625" customWidth="1"/>
    <col min="4" max="4" width="18" customWidth="1"/>
    <col min="5" max="5" width="19.08984375" customWidth="1"/>
    <col min="6" max="6" width="18.90625" customWidth="1"/>
    <col min="7" max="7" width="16.54296875" customWidth="1"/>
    <col min="8" max="8" width="16.90625" customWidth="1"/>
    <col min="9" max="9" width="17.453125" customWidth="1"/>
    <col min="10" max="11" width="16.6328125" bestFit="1" customWidth="1"/>
    <col min="12" max="14" width="14.6328125" bestFit="1" customWidth="1"/>
  </cols>
  <sheetData>
    <row r="2" spans="2:14" ht="15.5" x14ac:dyDescent="0.35">
      <c r="B2" s="153" t="s">
        <v>24</v>
      </c>
      <c r="C2" s="153"/>
      <c r="D2" s="153"/>
      <c r="E2" s="153"/>
      <c r="F2" s="153"/>
      <c r="G2" s="153"/>
      <c r="H2" s="20"/>
      <c r="I2" s="20"/>
      <c r="J2" s="20"/>
      <c r="K2" s="20"/>
      <c r="L2" s="20"/>
      <c r="M2" s="20"/>
      <c r="N2" s="20"/>
    </row>
    <row r="3" spans="2:14" ht="15.75" customHeight="1" x14ac:dyDescent="0.35">
      <c r="B3" s="153" t="s">
        <v>21</v>
      </c>
      <c r="C3" s="153"/>
      <c r="D3" s="153"/>
      <c r="E3" s="153"/>
      <c r="F3" s="153"/>
      <c r="G3" s="153"/>
      <c r="H3" s="20"/>
      <c r="I3" s="20"/>
      <c r="J3" s="20"/>
      <c r="K3" s="20"/>
      <c r="L3" s="20"/>
      <c r="M3" s="20"/>
      <c r="N3" s="20"/>
    </row>
    <row r="4" spans="2:14" ht="15.5" x14ac:dyDescent="0.35">
      <c r="B4" s="148" t="s">
        <v>22</v>
      </c>
      <c r="C4" s="153" t="s">
        <v>62</v>
      </c>
      <c r="D4" s="153"/>
      <c r="E4" s="153"/>
      <c r="F4" s="153"/>
      <c r="G4" s="153"/>
      <c r="H4" s="20"/>
    </row>
    <row r="5" spans="2:14" ht="15.5" x14ac:dyDescent="0.35">
      <c r="B5" s="148"/>
      <c r="C5" s="58" t="s">
        <v>49</v>
      </c>
      <c r="D5" s="29" t="s">
        <v>63</v>
      </c>
      <c r="E5" s="29" t="s">
        <v>64</v>
      </c>
      <c r="F5" s="29" t="s">
        <v>65</v>
      </c>
      <c r="G5" s="29" t="s">
        <v>66</v>
      </c>
    </row>
    <row r="6" spans="2:14" ht="43.5" x14ac:dyDescent="0.35">
      <c r="B6" s="37" t="s">
        <v>23</v>
      </c>
      <c r="C6" s="54" t="s">
        <v>25</v>
      </c>
      <c r="D6" s="54" t="s">
        <v>26</v>
      </c>
      <c r="E6" s="54" t="s">
        <v>27</v>
      </c>
      <c r="F6" s="54" t="s">
        <v>29</v>
      </c>
      <c r="G6" s="54" t="s">
        <v>28</v>
      </c>
    </row>
    <row r="7" spans="2:14" x14ac:dyDescent="0.35">
      <c r="B7" s="38"/>
      <c r="C7" s="30"/>
      <c r="D7" s="30"/>
      <c r="E7" s="30"/>
      <c r="F7" s="30"/>
      <c r="G7" s="30"/>
      <c r="H7" s="18"/>
    </row>
    <row r="8" spans="2:14" ht="15.75" customHeight="1" x14ac:dyDescent="0.35">
      <c r="B8" s="151" t="s">
        <v>22</v>
      </c>
      <c r="C8" s="150" t="s">
        <v>68</v>
      </c>
      <c r="D8" s="150"/>
      <c r="E8" s="150"/>
      <c r="F8" s="150"/>
      <c r="G8" s="150"/>
      <c r="H8" s="150"/>
    </row>
    <row r="9" spans="2:14" ht="15.5" x14ac:dyDescent="0.35">
      <c r="B9" s="152"/>
      <c r="C9" s="58" t="s">
        <v>50</v>
      </c>
      <c r="D9" s="29" t="s">
        <v>69</v>
      </c>
      <c r="E9" s="29" t="s">
        <v>70</v>
      </c>
      <c r="F9" s="29" t="s">
        <v>71</v>
      </c>
      <c r="G9" s="29" t="s">
        <v>72</v>
      </c>
      <c r="H9" s="29" t="s">
        <v>73</v>
      </c>
    </row>
    <row r="10" spans="2:14" ht="29" x14ac:dyDescent="0.35">
      <c r="B10" s="34" t="s">
        <v>23</v>
      </c>
      <c r="C10" s="53" t="s">
        <v>30</v>
      </c>
      <c r="D10" s="53" t="s">
        <v>31</v>
      </c>
      <c r="E10" s="53" t="s">
        <v>32</v>
      </c>
      <c r="F10" s="53" t="s">
        <v>33</v>
      </c>
      <c r="G10" s="53" t="s">
        <v>34</v>
      </c>
      <c r="H10" s="53" t="s">
        <v>35</v>
      </c>
    </row>
    <row r="11" spans="2:14" ht="15.75" customHeight="1" x14ac:dyDescent="0.35"/>
    <row r="12" spans="2:14" ht="15.5" x14ac:dyDescent="0.35">
      <c r="B12" s="39" t="s">
        <v>36</v>
      </c>
      <c r="C12" s="36"/>
      <c r="D12" s="36"/>
      <c r="E12" s="4"/>
    </row>
    <row r="15" spans="2:14" x14ac:dyDescent="0.35">
      <c r="B15" s="149">
        <v>230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</row>
    <row r="16" spans="2:14" x14ac:dyDescent="0.35">
      <c r="B16" s="28" t="s">
        <v>52</v>
      </c>
      <c r="C16">
        <v>6</v>
      </c>
      <c r="D16" s="35" t="s">
        <v>1</v>
      </c>
      <c r="F16" s="28" t="s">
        <v>76</v>
      </c>
      <c r="G16" s="81">
        <f>(-5*'Instalare linie dreaptă'!C13+330)/28</f>
        <v>1.9642857142857142</v>
      </c>
      <c r="H16" s="35" t="s">
        <v>40</v>
      </c>
      <c r="J16" s="28" t="s">
        <v>52</v>
      </c>
      <c r="K16">
        <v>6</v>
      </c>
      <c r="L16" s="35" t="s">
        <v>1</v>
      </c>
    </row>
    <row r="17" spans="2:12" x14ac:dyDescent="0.35">
      <c r="B17" s="28" t="s">
        <v>53</v>
      </c>
      <c r="C17">
        <v>10</v>
      </c>
      <c r="D17" s="35" t="s">
        <v>1</v>
      </c>
      <c r="F17" s="47" t="s">
        <v>75</v>
      </c>
      <c r="G17" s="81">
        <f>(-5*'Instalare linie dreaptă'!C13+350)/30</f>
        <v>2.5</v>
      </c>
      <c r="H17" s="35" t="s">
        <v>40</v>
      </c>
      <c r="J17" s="28" t="s">
        <v>53</v>
      </c>
      <c r="K17">
        <v>10</v>
      </c>
      <c r="L17" s="35" t="s">
        <v>1</v>
      </c>
    </row>
    <row r="18" spans="2:12" x14ac:dyDescent="0.35">
      <c r="B18" s="46" t="s">
        <v>54</v>
      </c>
      <c r="C18">
        <v>10</v>
      </c>
      <c r="D18" s="35" t="s">
        <v>1</v>
      </c>
      <c r="F18" s="28" t="s">
        <v>77</v>
      </c>
      <c r="G18" s="81">
        <f>(-14.5*'Instalare linie dreaptă'!C13+1145)/40</f>
        <v>8.6875</v>
      </c>
      <c r="H18" s="35" t="s">
        <v>40</v>
      </c>
      <c r="J18" s="46" t="s">
        <v>54</v>
      </c>
      <c r="K18">
        <v>10</v>
      </c>
      <c r="L18" s="35" t="s">
        <v>1</v>
      </c>
    </row>
    <row r="19" spans="2:12" x14ac:dyDescent="0.35">
      <c r="B19" s="46" t="s">
        <v>55</v>
      </c>
      <c r="C19">
        <v>10</v>
      </c>
      <c r="D19" s="35" t="s">
        <v>1</v>
      </c>
      <c r="F19" s="28" t="s">
        <v>78</v>
      </c>
      <c r="G19" s="81">
        <f>(-18*'Instalare linie dreaptă'!C13+1500)/40</f>
        <v>12.75</v>
      </c>
      <c r="H19" s="35" t="s">
        <v>40</v>
      </c>
      <c r="J19" s="46" t="s">
        <v>55</v>
      </c>
      <c r="K19">
        <v>10</v>
      </c>
      <c r="L19" s="35" t="s">
        <v>1</v>
      </c>
    </row>
    <row r="20" spans="2:12" x14ac:dyDescent="0.35">
      <c r="B20" s="28" t="s">
        <v>56</v>
      </c>
      <c r="C20">
        <v>18</v>
      </c>
      <c r="D20" s="35" t="s">
        <v>1</v>
      </c>
      <c r="F20" s="28" t="s">
        <v>59</v>
      </c>
      <c r="G20" s="81">
        <f>(-2*'Instalare linie dreaptă'!C13+195)/15</f>
        <v>5.666666666666667</v>
      </c>
      <c r="H20" s="35" t="s">
        <v>41</v>
      </c>
      <c r="J20" s="28" t="s">
        <v>58</v>
      </c>
      <c r="K20">
        <v>9</v>
      </c>
      <c r="L20" s="35" t="s">
        <v>1</v>
      </c>
    </row>
    <row r="21" spans="2:12" x14ac:dyDescent="0.35">
      <c r="B21" s="28" t="s">
        <v>57</v>
      </c>
      <c r="C21">
        <v>20</v>
      </c>
      <c r="D21" s="35" t="s">
        <v>1</v>
      </c>
      <c r="F21" s="28" t="s">
        <v>79</v>
      </c>
      <c r="G21" s="81">
        <f>('Instalare linie dreaptă'!C13-145)/-10</f>
        <v>9</v>
      </c>
      <c r="H21" s="35" t="s">
        <v>42</v>
      </c>
      <c r="J21" s="28"/>
      <c r="L21" s="35"/>
    </row>
    <row r="22" spans="2:12" x14ac:dyDescent="0.35">
      <c r="B22" s="28" t="s">
        <v>58</v>
      </c>
      <c r="C22">
        <v>9</v>
      </c>
      <c r="D22" s="35" t="s">
        <v>1</v>
      </c>
      <c r="F22" s="28" t="s">
        <v>60</v>
      </c>
      <c r="G22" s="81">
        <f>(3*'Instalare linie dreaptă'!C13-450)/-20</f>
        <v>14.25</v>
      </c>
      <c r="H22" s="35" t="s">
        <v>43</v>
      </c>
    </row>
    <row r="23" spans="2:12" ht="29" x14ac:dyDescent="0.35">
      <c r="F23" s="78" t="s">
        <v>80</v>
      </c>
      <c r="G23" s="81">
        <f>(-10*'Instalare linie dreaptă'!C13+2500)/80</f>
        <v>24.375</v>
      </c>
      <c r="H23" s="76" t="s">
        <v>40</v>
      </c>
    </row>
    <row r="24" spans="2:12" ht="29" x14ac:dyDescent="0.35">
      <c r="B24" s="77"/>
      <c r="D24" s="35"/>
      <c r="F24" s="78" t="s">
        <v>81</v>
      </c>
      <c r="G24" s="81">
        <f>(-20*'Instalare linie dreaptă'!C13+5000)/80</f>
        <v>48.75</v>
      </c>
      <c r="H24" s="76" t="s">
        <v>40</v>
      </c>
    </row>
    <row r="25" spans="2:12" x14ac:dyDescent="0.35">
      <c r="F25" s="28"/>
      <c r="H25" s="35"/>
    </row>
    <row r="26" spans="2:12" x14ac:dyDescent="0.35">
      <c r="F26" s="28"/>
      <c r="H26" s="35"/>
    </row>
    <row r="29" spans="2:12" x14ac:dyDescent="0.35">
      <c r="B29" s="149">
        <v>220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</row>
    <row r="30" spans="2:12" x14ac:dyDescent="0.35">
      <c r="B30" s="28" t="s">
        <v>52</v>
      </c>
      <c r="C30" s="59">
        <f>($B$29*$B$29)/(($B$15*$B$15)/C16)</f>
        <v>5.4896030245746692</v>
      </c>
      <c r="D30" s="35" t="s">
        <v>1</v>
      </c>
      <c r="F30" s="28" t="s">
        <v>76</v>
      </c>
      <c r="G30" s="59">
        <f>($B$29*$B$29)/(($B$15*$B$15)/G16)</f>
        <v>1.7971914663786119</v>
      </c>
      <c r="H30" s="76" t="s">
        <v>40</v>
      </c>
      <c r="J30" s="28" t="s">
        <v>52</v>
      </c>
      <c r="K30" s="59">
        <f>($B$29*$B$29)/(($B$15*$B$15)/K16)</f>
        <v>5.4896030245746692</v>
      </c>
      <c r="L30" s="35" t="s">
        <v>1</v>
      </c>
    </row>
    <row r="31" spans="2:12" x14ac:dyDescent="0.35">
      <c r="B31" s="28" t="s">
        <v>53</v>
      </c>
      <c r="C31" s="59">
        <f t="shared" ref="C31:C36" si="0">($B$29*$B$29)/(($B$15*$B$15)/C17)</f>
        <v>9.1493383742911156</v>
      </c>
      <c r="D31" s="35" t="s">
        <v>1</v>
      </c>
      <c r="F31" s="47" t="s">
        <v>75</v>
      </c>
      <c r="G31" s="59">
        <f t="shared" ref="G31:G38" si="1">($B$29*$B$29)/(($B$15*$B$15)/G17)</f>
        <v>2.2873345935727789</v>
      </c>
      <c r="H31" s="76" t="s">
        <v>40</v>
      </c>
      <c r="J31" s="28" t="s">
        <v>53</v>
      </c>
      <c r="K31" s="59">
        <f t="shared" ref="K31:K34" si="2">($B$29*$B$29)/(($B$15*$B$15)/K17)</f>
        <v>9.1493383742911156</v>
      </c>
      <c r="L31" s="35" t="s">
        <v>1</v>
      </c>
    </row>
    <row r="32" spans="2:12" x14ac:dyDescent="0.35">
      <c r="B32" s="46" t="s">
        <v>54</v>
      </c>
      <c r="C32" s="59">
        <f t="shared" si="0"/>
        <v>9.1493383742911156</v>
      </c>
      <c r="D32" s="35" t="s">
        <v>1</v>
      </c>
      <c r="F32" s="28" t="s">
        <v>77</v>
      </c>
      <c r="G32" s="59">
        <f t="shared" si="1"/>
        <v>7.9484877126654059</v>
      </c>
      <c r="H32" s="76" t="s">
        <v>40</v>
      </c>
      <c r="J32" s="46" t="s">
        <v>54</v>
      </c>
      <c r="K32" s="59">
        <f t="shared" si="2"/>
        <v>9.1493383742911156</v>
      </c>
      <c r="L32" s="35" t="s">
        <v>1</v>
      </c>
    </row>
    <row r="33" spans="2:12" x14ac:dyDescent="0.35">
      <c r="B33" s="46" t="s">
        <v>55</v>
      </c>
      <c r="C33" s="59">
        <f t="shared" si="0"/>
        <v>9.1493383742911156</v>
      </c>
      <c r="D33" s="35" t="s">
        <v>1</v>
      </c>
      <c r="F33" s="28" t="s">
        <v>78</v>
      </c>
      <c r="G33" s="59">
        <f t="shared" si="1"/>
        <v>11.665406427221171</v>
      </c>
      <c r="H33" s="76" t="s">
        <v>40</v>
      </c>
      <c r="J33" s="46" t="s">
        <v>55</v>
      </c>
      <c r="K33" s="59">
        <f t="shared" si="2"/>
        <v>9.1493383742911156</v>
      </c>
      <c r="L33" s="35" t="s">
        <v>1</v>
      </c>
    </row>
    <row r="34" spans="2:12" x14ac:dyDescent="0.35">
      <c r="B34" s="28" t="s">
        <v>56</v>
      </c>
      <c r="C34" s="59">
        <f t="shared" si="0"/>
        <v>16.46880907372401</v>
      </c>
      <c r="D34" s="35" t="s">
        <v>1</v>
      </c>
      <c r="F34" s="28" t="s">
        <v>59</v>
      </c>
      <c r="G34" s="59">
        <f t="shared" si="1"/>
        <v>5.1846250787649657</v>
      </c>
      <c r="H34" s="76" t="s">
        <v>41</v>
      </c>
      <c r="J34" s="28" t="s">
        <v>58</v>
      </c>
      <c r="K34" s="59">
        <f t="shared" si="2"/>
        <v>8.2344045368620051</v>
      </c>
      <c r="L34" s="35" t="s">
        <v>1</v>
      </c>
    </row>
    <row r="35" spans="2:12" x14ac:dyDescent="0.35">
      <c r="B35" s="28" t="s">
        <v>57</v>
      </c>
      <c r="C35" s="59">
        <f t="shared" si="0"/>
        <v>18.298676748582231</v>
      </c>
      <c r="D35" s="35" t="s">
        <v>1</v>
      </c>
      <c r="F35" s="28" t="s">
        <v>79</v>
      </c>
      <c r="G35" s="59">
        <f t="shared" si="1"/>
        <v>8.2344045368620051</v>
      </c>
      <c r="H35" s="76" t="s">
        <v>42</v>
      </c>
      <c r="J35" s="28"/>
      <c r="K35" s="59"/>
      <c r="L35" s="35"/>
    </row>
    <row r="36" spans="2:12" x14ac:dyDescent="0.35">
      <c r="B36" s="28" t="s">
        <v>58</v>
      </c>
      <c r="C36" s="59">
        <f t="shared" si="0"/>
        <v>8.2344045368620051</v>
      </c>
      <c r="D36" s="35" t="s">
        <v>1</v>
      </c>
      <c r="F36" s="28" t="s">
        <v>60</v>
      </c>
      <c r="G36" s="59">
        <f t="shared" si="1"/>
        <v>13.037807183364839</v>
      </c>
      <c r="H36" s="76" t="s">
        <v>43</v>
      </c>
    </row>
    <row r="37" spans="2:12" ht="29" x14ac:dyDescent="0.35">
      <c r="F37" s="78" t="s">
        <v>80</v>
      </c>
      <c r="G37" s="59">
        <f t="shared" si="1"/>
        <v>22.301512287334596</v>
      </c>
      <c r="H37" s="76" t="s">
        <v>40</v>
      </c>
    </row>
    <row r="38" spans="2:12" ht="29" x14ac:dyDescent="0.35">
      <c r="B38" s="77"/>
      <c r="C38" s="59"/>
      <c r="D38" s="35"/>
      <c r="F38" s="78" t="s">
        <v>81</v>
      </c>
      <c r="G38" s="59">
        <f t="shared" si="1"/>
        <v>44.603024574669192</v>
      </c>
      <c r="H38" s="76" t="s">
        <v>40</v>
      </c>
    </row>
    <row r="39" spans="2:12" x14ac:dyDescent="0.35">
      <c r="F39" s="28"/>
      <c r="G39" s="59"/>
      <c r="H39" s="35"/>
    </row>
    <row r="40" spans="2:12" x14ac:dyDescent="0.35">
      <c r="F40" s="28"/>
      <c r="G40" s="59"/>
      <c r="H40" s="35"/>
    </row>
    <row r="41" spans="2:12" x14ac:dyDescent="0.35">
      <c r="F41" s="28"/>
      <c r="G41" s="59"/>
      <c r="H41" s="35"/>
    </row>
    <row r="43" spans="2:12" x14ac:dyDescent="0.35">
      <c r="B43" s="149">
        <v>240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</row>
    <row r="44" spans="2:12" x14ac:dyDescent="0.35">
      <c r="B44" s="28" t="s">
        <v>52</v>
      </c>
      <c r="C44" s="59">
        <f>($B$43*$B$43)/(($B$15*$B$15)/C16)</f>
        <v>6.5330812854442346</v>
      </c>
      <c r="D44" s="35" t="s">
        <v>1</v>
      </c>
      <c r="F44" s="28" t="s">
        <v>76</v>
      </c>
      <c r="G44" s="59">
        <f>($B$43*$B$43)/(($B$15*$B$15)/G16)</f>
        <v>2.1388063732109099</v>
      </c>
      <c r="H44" s="76" t="s">
        <v>40</v>
      </c>
      <c r="J44" s="28" t="s">
        <v>52</v>
      </c>
      <c r="K44" s="59">
        <f>($B$43*$B$43)/(($B$15*$B$15)/K16)</f>
        <v>6.5330812854442346</v>
      </c>
      <c r="L44" s="35" t="s">
        <v>1</v>
      </c>
    </row>
    <row r="45" spans="2:12" x14ac:dyDescent="0.35">
      <c r="B45" s="28" t="s">
        <v>53</v>
      </c>
      <c r="C45" s="59">
        <f t="shared" ref="C45:C50" si="3">($B$43*$B$43)/(($B$15*$B$15)/C17)</f>
        <v>10.888468809073723</v>
      </c>
      <c r="D45" s="35" t="s">
        <v>1</v>
      </c>
      <c r="F45" s="47" t="s">
        <v>75</v>
      </c>
      <c r="G45" s="59">
        <f t="shared" ref="G45:G52" si="4">($B$43*$B$43)/(($B$15*$B$15)/G17)</f>
        <v>2.7221172022684308</v>
      </c>
      <c r="H45" s="76" t="s">
        <v>40</v>
      </c>
      <c r="J45" s="28" t="s">
        <v>53</v>
      </c>
      <c r="K45" s="59">
        <f t="shared" ref="K45:K48" si="5">($B$43*$B$43)/(($B$15*$B$15)/K17)</f>
        <v>10.888468809073723</v>
      </c>
      <c r="L45" s="35" t="s">
        <v>1</v>
      </c>
    </row>
    <row r="46" spans="2:12" x14ac:dyDescent="0.35">
      <c r="B46" s="46" t="s">
        <v>54</v>
      </c>
      <c r="C46" s="59">
        <f t="shared" si="3"/>
        <v>10.888468809073723</v>
      </c>
      <c r="D46" s="35" t="s">
        <v>1</v>
      </c>
      <c r="F46" s="28" t="s">
        <v>77</v>
      </c>
      <c r="G46" s="59">
        <f t="shared" si="4"/>
        <v>9.4593572778827983</v>
      </c>
      <c r="H46" s="76" t="s">
        <v>40</v>
      </c>
      <c r="J46" s="46" t="s">
        <v>54</v>
      </c>
      <c r="K46" s="59">
        <f t="shared" si="5"/>
        <v>10.888468809073723</v>
      </c>
      <c r="L46" s="35" t="s">
        <v>1</v>
      </c>
    </row>
    <row r="47" spans="2:12" x14ac:dyDescent="0.35">
      <c r="B47" s="46" t="s">
        <v>55</v>
      </c>
      <c r="C47" s="59">
        <f t="shared" si="3"/>
        <v>10.888468809073723</v>
      </c>
      <c r="D47" s="35" t="s">
        <v>1</v>
      </c>
      <c r="F47" s="28" t="s">
        <v>78</v>
      </c>
      <c r="G47" s="59">
        <f t="shared" si="4"/>
        <v>13.882797731568997</v>
      </c>
      <c r="H47" s="76" t="s">
        <v>40</v>
      </c>
      <c r="J47" s="46" t="s">
        <v>55</v>
      </c>
      <c r="K47" s="59">
        <f t="shared" si="5"/>
        <v>10.888468809073723</v>
      </c>
      <c r="L47" s="35" t="s">
        <v>1</v>
      </c>
    </row>
    <row r="48" spans="2:12" x14ac:dyDescent="0.35">
      <c r="B48" s="28" t="s">
        <v>56</v>
      </c>
      <c r="C48" s="59">
        <f t="shared" si="3"/>
        <v>19.599243856332706</v>
      </c>
      <c r="D48" s="35" t="s">
        <v>1</v>
      </c>
      <c r="F48" s="28" t="s">
        <v>59</v>
      </c>
      <c r="G48" s="59">
        <f t="shared" si="4"/>
        <v>6.1701323251417781</v>
      </c>
      <c r="H48" s="76" t="s">
        <v>41</v>
      </c>
      <c r="J48" s="28" t="s">
        <v>58</v>
      </c>
      <c r="K48" s="59">
        <f t="shared" si="5"/>
        <v>9.7996219281663528</v>
      </c>
      <c r="L48" s="35" t="s">
        <v>1</v>
      </c>
    </row>
    <row r="49" spans="2:12" x14ac:dyDescent="0.35">
      <c r="B49" s="28" t="s">
        <v>57</v>
      </c>
      <c r="C49" s="59">
        <f t="shared" si="3"/>
        <v>21.776937618147446</v>
      </c>
      <c r="D49" s="35" t="s">
        <v>1</v>
      </c>
      <c r="F49" s="28" t="s">
        <v>79</v>
      </c>
      <c r="G49" s="59">
        <f t="shared" si="4"/>
        <v>9.7996219281663528</v>
      </c>
      <c r="H49" s="76" t="s">
        <v>42</v>
      </c>
      <c r="J49" s="28"/>
      <c r="K49" s="59"/>
      <c r="L49" s="35"/>
    </row>
    <row r="50" spans="2:12" x14ac:dyDescent="0.35">
      <c r="B50" s="28" t="s">
        <v>58</v>
      </c>
      <c r="C50" s="59">
        <f t="shared" si="3"/>
        <v>9.7996219281663528</v>
      </c>
      <c r="D50" s="35" t="s">
        <v>1</v>
      </c>
      <c r="F50" s="28" t="s">
        <v>60</v>
      </c>
      <c r="G50" s="59">
        <f t="shared" si="4"/>
        <v>15.516068052930057</v>
      </c>
      <c r="H50" s="76" t="s">
        <v>43</v>
      </c>
    </row>
    <row r="51" spans="2:12" ht="29" x14ac:dyDescent="0.35">
      <c r="F51" s="78" t="s">
        <v>80</v>
      </c>
      <c r="G51" s="59">
        <f t="shared" si="4"/>
        <v>26.540642722117202</v>
      </c>
      <c r="H51" s="76" t="s">
        <v>40</v>
      </c>
    </row>
    <row r="52" spans="2:12" ht="29" x14ac:dyDescent="0.35">
      <c r="B52" s="77"/>
      <c r="C52" s="59"/>
      <c r="D52" s="35"/>
      <c r="F52" s="78" t="s">
        <v>81</v>
      </c>
      <c r="G52" s="59">
        <f t="shared" si="4"/>
        <v>53.081285444234403</v>
      </c>
      <c r="H52" s="76" t="s">
        <v>40</v>
      </c>
    </row>
    <row r="53" spans="2:12" x14ac:dyDescent="0.35">
      <c r="F53" s="28"/>
      <c r="G53" s="59"/>
      <c r="H53" s="35"/>
    </row>
    <row r="54" spans="2:12" x14ac:dyDescent="0.35">
      <c r="F54" s="28"/>
      <c r="G54" s="59"/>
      <c r="H54" s="35"/>
    </row>
    <row r="55" spans="2:12" x14ac:dyDescent="0.35">
      <c r="F55" s="28"/>
      <c r="G55" s="59"/>
      <c r="H55" s="35"/>
    </row>
  </sheetData>
  <mergeCells count="9">
    <mergeCell ref="B43:L43"/>
    <mergeCell ref="C8:H8"/>
    <mergeCell ref="B8:B9"/>
    <mergeCell ref="B4:B5"/>
    <mergeCell ref="B2:G2"/>
    <mergeCell ref="B3:G3"/>
    <mergeCell ref="C4:G4"/>
    <mergeCell ref="B15:L15"/>
    <mergeCell ref="B29:L29"/>
  </mergeCells>
  <pageMargins left="0.7" right="0.7" top="0.75" bottom="0.75" header="0.3" footer="0.3"/>
  <pageSetup paperSize="9" orientation="portrait" r:id="rId1"/>
  <headerFooter>
    <oddFooter>&amp;C&amp;1#&amp;"Calibri"&amp;10&amp;K000000Classified as Business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062A-F9BE-4FB4-8E4B-E47F1024DB9E}">
  <dimension ref="B2:B6"/>
  <sheetViews>
    <sheetView workbookViewId="0">
      <selection activeCell="E5" sqref="E5"/>
    </sheetView>
  </sheetViews>
  <sheetFormatPr defaultRowHeight="14.5" x14ac:dyDescent="0.35"/>
  <cols>
    <col min="3" max="3" width="24.08984375" customWidth="1"/>
  </cols>
  <sheetData>
    <row r="2" spans="2:2" ht="125.25" customHeight="1" x14ac:dyDescent="0.35">
      <c r="B2">
        <v>1</v>
      </c>
    </row>
    <row r="3" spans="2:2" ht="126.75" customHeight="1" x14ac:dyDescent="0.35">
      <c r="B3">
        <v>2</v>
      </c>
    </row>
    <row r="4" spans="2:2" ht="125.25" customHeight="1" x14ac:dyDescent="0.35">
      <c r="B4">
        <v>3</v>
      </c>
    </row>
    <row r="5" spans="2:2" ht="125.25" customHeight="1" x14ac:dyDescent="0.35">
      <c r="B5">
        <v>4</v>
      </c>
    </row>
    <row r="6" spans="2:2" ht="125.25" customHeight="1" x14ac:dyDescent="0.35">
      <c r="B6" t="s">
        <v>91</v>
      </c>
    </row>
  </sheetData>
  <pageMargins left="0.7" right="0.7" top="0.75" bottom="0.75" header="0.3" footer="0.3"/>
  <pageSetup paperSize="9" orientation="portrait" r:id="rId1"/>
  <headerFooter>
    <oddFooter>&amp;C&amp;1#&amp;"Calibri"&amp;10&amp;K000000Classified as Business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Instalare linie dreaptă</vt:lpstr>
      <vt:lpstr>Instalare in spirala</vt:lpstr>
      <vt:lpstr>Sheet2</vt:lpstr>
      <vt:lpstr>Sheet3</vt:lpstr>
      <vt:lpstr>Sheet4</vt:lpstr>
      <vt:lpstr>Plastic1</vt:lpstr>
      <vt:lpstr>Resistive</vt:lpstr>
      <vt:lpstr>Self</vt:lpstr>
      <vt:lpstr>'Instalare in spirala'!Выбор</vt:lpstr>
      <vt:lpstr>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2020-04-29T11:49:42Z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6a82de-332f-43b8-a8a7-1928fd67507f_Enabled">
    <vt:lpwstr>true</vt:lpwstr>
  </property>
  <property fmtid="{D5CDD505-2E9C-101B-9397-08002B2CF9AE}" pid="3" name="MSIP_Label_8d6a82de-332f-43b8-a8a7-1928fd67507f_SetDate">
    <vt:lpwstr>2020-03-02T09:14:43Z</vt:lpwstr>
  </property>
  <property fmtid="{D5CDD505-2E9C-101B-9397-08002B2CF9AE}" pid="4" name="MSIP_Label_8d6a82de-332f-43b8-a8a7-1928fd67507f_Method">
    <vt:lpwstr>Standard</vt:lpwstr>
  </property>
  <property fmtid="{D5CDD505-2E9C-101B-9397-08002B2CF9AE}" pid="5" name="MSIP_Label_8d6a82de-332f-43b8-a8a7-1928fd67507f_Name">
    <vt:lpwstr>1. Business</vt:lpwstr>
  </property>
  <property fmtid="{D5CDD505-2E9C-101B-9397-08002B2CF9AE}" pid="6" name="MSIP_Label_8d6a82de-332f-43b8-a8a7-1928fd67507f_SiteId">
    <vt:lpwstr>097464b8-069c-453e-9254-c17ec707310d</vt:lpwstr>
  </property>
  <property fmtid="{D5CDD505-2E9C-101B-9397-08002B2CF9AE}" pid="7" name="MSIP_Label_8d6a82de-332f-43b8-a8a7-1928fd67507f_ActionId">
    <vt:lpwstr>16d10826-4d99-4c90-b537-0000f0d5cd32</vt:lpwstr>
  </property>
  <property fmtid="{D5CDD505-2E9C-101B-9397-08002B2CF9AE}" pid="8" name="MSIP_Label_8d6a82de-332f-43b8-a8a7-1928fd67507f_ContentBits">
    <vt:lpwstr>2</vt:lpwstr>
  </property>
  <property fmtid="{D5CDD505-2E9C-101B-9397-08002B2CF9AE}" pid="9" name="BExAnalyzer_OldName">
    <vt:lpwstr>Protectie la inghet v1.5 (DEVI).xlsx</vt:lpwstr>
  </property>
</Properties>
</file>