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filterPrivacy="1" showInkAnnotation="0" defaultThemeVersion="124226"/>
  <bookViews>
    <workbookView xWindow="0" yWindow="0" windowWidth="15300" windowHeight="12945"/>
  </bookViews>
  <sheets>
    <sheet name="DEVImulti calculation" sheetId="1" r:id="rId1"/>
    <sheet name="Data Sheet" sheetId="7" r:id="rId2"/>
    <sheet name="Sheet2" sheetId="2" state="hidden" r:id="rId3"/>
    <sheet name="Sheet3" sheetId="3" state="hidden" r:id="rId4"/>
    <sheet name="Sheet1" sheetId="4" state="hidden" r:id="rId5"/>
    <sheet name="Sheet4" sheetId="5" state="hidden" r:id="rId6"/>
    <sheet name="Sheet5" sheetId="6" state="hidden" r:id="rId7"/>
  </sheets>
  <definedNames>
    <definedName name="DEVImulti_HDPE">Sheet2!$U$7:$U$8</definedName>
    <definedName name="DEVImulti_PVC">Sheet2!$U$18:$U$22</definedName>
    <definedName name="HDPE">Sheet2!$U$7:$U$8</definedName>
    <definedName name="Insulation">Sheet2!#REF!</definedName>
    <definedName name="logo">INDEX(Sheet2!$AB$28:$AB$37,MATCH(Sheet2!$AA$26,Sheet2!$AA$28:$AA$37,0))</definedName>
    <definedName name="logo1">INDEX(Sheet2!$AE$28:$AE$37,MATCH(Sheet2!$AD$26,Sheet2!$AD$28:$AD$37,0))</definedName>
    <definedName name="logo10">INDEX(Sheet2!$AE$27:$AE$37,MATCH('DEVImulti calculation'!$K$17,Sheet2!$AD$27:$AD$37,0))</definedName>
    <definedName name="logo1000">INDEX(Sheet2!$AJ$27:$AJ$30,MATCH('DEVImulti calculation'!$O$23,Sheet2!$AI$27:$AI$30,0))</definedName>
    <definedName name="logo11">INDEX(Sheet2!$AE$27:$AE$37,MATCH('DEVImulti calculation'!$L$17,Sheet2!$AD$27:$AD$37,0))</definedName>
    <definedName name="logo12">INDEX(Sheet2!$AE$27:$AE$37,MATCH('DEVImulti calculation'!$M$17,Sheet2!$AD$27:$AD$37,0))</definedName>
    <definedName name="logo13">INDEX(Sheet2!$AE$27:$AE$37,MATCH('DEVImulti calculation'!$N$17,Sheet2!$AD$27:$AD$37,0))</definedName>
    <definedName name="logo14">INDEX(Sheet2!$AE$27:$AE$37,MATCH('DEVImulti calculation'!$K$23,Sheet2!$AD$27:$AD$37,0))</definedName>
    <definedName name="logo15">INDEX(Sheet2!$AE$27:$AE$37,MATCH('DEVImulti calculation'!$L$23,Sheet2!$AD$27:$AD$37,0))</definedName>
    <definedName name="logo16">INDEX(Sheet2!$AE$27:$AE$37,MATCH('DEVImulti calculation'!$M$23,Sheet2!$AD$27:$AD$37,0))</definedName>
    <definedName name="logo17">INDEX(Sheet2!$AE$27:$AE$37,MATCH('DEVImulti calculation'!$N$23,Sheet2!$AD$27:$AD$37,0))</definedName>
    <definedName name="logo18">INDEX(Sheet2!$AG$27:$AG$37,MATCH('DEVImulti calculation'!$K$29,Sheet2!$AF$27:$AF$37,0))</definedName>
    <definedName name="logo19">INDEX(Sheet2!$AG$27:$AG$37,MATCH('DEVImulti calculation'!$L$29,Sheet2!$AF$27:$AF$37,0))</definedName>
    <definedName name="logo2">INDEX(Sheet2!$AB$27:$AB$37,MATCH('DEVImulti calculation'!$K$5,Sheet2!$AA$27:$AA$37,0))</definedName>
    <definedName name="logo20">INDEX(Sheet2!$AG$27:$AG$37,MATCH('DEVImulti calculation'!$M$29,Sheet2!$AF$27:$AF$37,0))</definedName>
    <definedName name="logo2000">INDEX(Sheet2!$AJ$27:$AJ$30,MATCH('DEVImulti calculation'!$O$29,Sheet2!$AI$27:$AI$30,0))</definedName>
    <definedName name="logo21">INDEX(Sheet2!$AG$27:$AG$37,MATCH('DEVImulti calculation'!$N$29,Sheet2!$AF$27:$AF$37,0))</definedName>
    <definedName name="logo22">INDEX(Sheet2!$AG$27:$AG$37,MATCH('DEVImulti calculation'!$K$35,Sheet2!$AF$27:$AF$37,0))</definedName>
    <definedName name="logo23">INDEX(Sheet2!$AG$27:$AG$37,MATCH('DEVImulti calculation'!$L$35,Sheet2!$AF$27:$AF$37,0))</definedName>
    <definedName name="logo24">INDEX(Sheet2!$AG$27:$AG$37,MATCH('DEVImulti calculation'!$M$35,Sheet2!$AF$27:$AF$37,0))</definedName>
    <definedName name="logo25">INDEX(Sheet2!$AG$27:$AG$37,MATCH('DEVImulti calculation'!$N$35,Sheet2!$AF$27:$AF$37,0))</definedName>
    <definedName name="logo3">INDEX(Sheet2!$AB$27:$AB$37,MATCH('DEVImulti calculation'!$L$11,Sheet2!$AA$27:$AA$37,0))</definedName>
    <definedName name="logo3000">INDEX(Sheet2!$AJ$27:$AJ$30,MATCH('DEVImulti calculation'!$O$35,Sheet2!$AI$27:$AI$30,0))</definedName>
    <definedName name="logo4">INDEX(Sheet2!$AB$27:$AB$37,MATCH('DEVImulti calculation'!$L$5,Sheet2!$AA$27:$AA$37,0))</definedName>
    <definedName name="logo5">INDEX(Sheet2!$AB$27:$AB$37,MATCH('DEVImulti calculation'!$M$5,Sheet2!$AA$27:$AA$37,0))</definedName>
    <definedName name="logo6">INDEX(Sheet2!$AB$27:$AB$37,MATCH('DEVImulti calculation'!$N$5,Sheet2!$AA$27:$AA$37,0))</definedName>
    <definedName name="logo7">INDEX(Sheet2!$AB$27:$AB$37,MATCH('DEVImulti calculation'!$K$11,Sheet2!$AA$27:$AA$37,0))</definedName>
    <definedName name="logo777">INDEX(Sheet2!$AJ$27:$AJ$30,MATCH('DEVImulti calculation'!$O$5,Sheet2!$AI$27:$AI$30,0))</definedName>
    <definedName name="logo8">INDEX(Sheet2!$AB$27:$AB$37,MATCH('DEVImulti calculation'!$M$11,Sheet2!$AA$27:$AA$37,0))</definedName>
    <definedName name="logo888">INDEX(Sheet2!$AJ$27:$AJ$30,MATCH('DEVImulti calculation'!$O$11,Sheet2!$AI$27:$AI$30,0))</definedName>
    <definedName name="logo9">INDEX(Sheet2!$AB$27:$AB$37,MATCH('DEVImulti calculation'!$N$11,Sheet2!$AA$27:$AA$37,0))</definedName>
    <definedName name="logo999">INDEX(Sheet2!$AJ$27:$AJ$30,MATCH('DEVImulti calculation'!$O$17,Sheet2!$AI$27:$AI$30,0))</definedName>
    <definedName name="Pipe_Diameter">Sheet2!#REF!</definedName>
    <definedName name="Plastic1">Sheet3!$J$18:$J$24</definedName>
    <definedName name="PVC">Sheet2!$U$18:$U$22</definedName>
    <definedName name="Resistive">Sheet3!$B$18:$B$27</definedName>
    <definedName name="Self">Sheet3!$F$18:$F$29</definedName>
  </definedNames>
  <calcPr calcId="171027"/>
</workbook>
</file>

<file path=xl/calcChain.xml><?xml version="1.0" encoding="utf-8"?>
<calcChain xmlns="http://schemas.openxmlformats.org/spreadsheetml/2006/main">
  <c r="D16" i="1" l="1"/>
  <c r="D15" i="1"/>
  <c r="AI27" i="2" l="1"/>
  <c r="I5" i="1" l="1"/>
  <c r="AD27" i="2"/>
  <c r="AF27" i="2" l="1"/>
  <c r="AA27" i="2"/>
  <c r="I29" i="1" l="1"/>
  <c r="I35" i="1"/>
  <c r="I23" i="1"/>
  <c r="I17" i="1"/>
  <c r="I11" i="1"/>
  <c r="D19" i="1" l="1"/>
  <c r="D18" i="1"/>
  <c r="Q51" i="5" l="1"/>
  <c r="S52" i="4"/>
  <c r="P29" i="4"/>
  <c r="Q51" i="6"/>
  <c r="V29" i="6"/>
  <c r="P29" i="6"/>
  <c r="P6" i="6"/>
  <c r="V6" i="6"/>
  <c r="V40" i="6"/>
  <c r="P17" i="6"/>
  <c r="V17" i="6"/>
  <c r="P40" i="6"/>
  <c r="P28" i="5"/>
  <c r="V28" i="5"/>
  <c r="V6" i="5"/>
  <c r="P6" i="5"/>
  <c r="V17" i="5"/>
  <c r="V39" i="5"/>
  <c r="P39" i="5"/>
  <c r="P17" i="5"/>
  <c r="V40" i="4"/>
  <c r="P17" i="4"/>
  <c r="P40" i="4"/>
  <c r="V17" i="4"/>
  <c r="P6" i="4"/>
  <c r="V6" i="4"/>
  <c r="V29" i="4"/>
  <c r="E10" i="6"/>
  <c r="N47" i="6"/>
  <c r="C47" i="6"/>
  <c r="I48" i="6" s="1"/>
  <c r="J48" i="6" s="1"/>
  <c r="K48" i="6" s="1"/>
  <c r="E46" i="6"/>
  <c r="F46" i="6" s="1"/>
  <c r="G46" i="6" s="1"/>
  <c r="E45" i="6"/>
  <c r="F45" i="6" s="1"/>
  <c r="G45" i="6" s="1"/>
  <c r="E44" i="6"/>
  <c r="F44" i="6" s="1"/>
  <c r="G44" i="6" s="1"/>
  <c r="E43" i="6"/>
  <c r="F43" i="6" s="1"/>
  <c r="G43" i="6" s="1"/>
  <c r="C43" i="6"/>
  <c r="I46" i="6" s="1"/>
  <c r="J46" i="6" s="1"/>
  <c r="K46" i="6" s="1"/>
  <c r="I42" i="6"/>
  <c r="J42" i="6" s="1"/>
  <c r="K42" i="6" s="1"/>
  <c r="I40" i="6"/>
  <c r="J40" i="6" s="1"/>
  <c r="K40" i="6" s="1"/>
  <c r="C39" i="6"/>
  <c r="E42" i="6" s="1"/>
  <c r="F42" i="6" s="1"/>
  <c r="G42" i="6" s="1"/>
  <c r="J38" i="6"/>
  <c r="K38" i="6" s="1"/>
  <c r="I38" i="6"/>
  <c r="E38" i="6"/>
  <c r="F38" i="6" s="1"/>
  <c r="G38" i="6" s="1"/>
  <c r="G37" i="6"/>
  <c r="E37" i="6"/>
  <c r="F37" i="6" s="1"/>
  <c r="J36" i="6"/>
  <c r="K36" i="6" s="1"/>
  <c r="I36" i="6"/>
  <c r="E36" i="6"/>
  <c r="F36" i="6" s="1"/>
  <c r="G36" i="6" s="1"/>
  <c r="E35" i="6"/>
  <c r="F35" i="6" s="1"/>
  <c r="G35" i="6" s="1"/>
  <c r="C35" i="6"/>
  <c r="I37" i="6" s="1"/>
  <c r="J37" i="6" s="1"/>
  <c r="K37" i="6" s="1"/>
  <c r="C31" i="6"/>
  <c r="E30" i="6"/>
  <c r="F30" i="6" s="1"/>
  <c r="G30" i="6" s="1"/>
  <c r="E29" i="6"/>
  <c r="F29" i="6" s="1"/>
  <c r="G29" i="6" s="1"/>
  <c r="E28" i="6"/>
  <c r="F28" i="6" s="1"/>
  <c r="G28" i="6" s="1"/>
  <c r="G27" i="6"/>
  <c r="E27" i="6"/>
  <c r="F27" i="6" s="1"/>
  <c r="C27" i="6"/>
  <c r="I30" i="6" s="1"/>
  <c r="J30" i="6" s="1"/>
  <c r="K30" i="6" s="1"/>
  <c r="I26" i="6"/>
  <c r="J26" i="6" s="1"/>
  <c r="K26" i="6" s="1"/>
  <c r="I24" i="6"/>
  <c r="J24" i="6" s="1"/>
  <c r="K24" i="6" s="1"/>
  <c r="K23" i="6"/>
  <c r="I23" i="6"/>
  <c r="J23" i="6" s="1"/>
  <c r="C23" i="6"/>
  <c r="J22" i="6"/>
  <c r="K22" i="6" s="1"/>
  <c r="I22" i="6"/>
  <c r="G22" i="6"/>
  <c r="E22" i="6"/>
  <c r="F22" i="6" s="1"/>
  <c r="E21" i="6"/>
  <c r="F21" i="6" s="1"/>
  <c r="G21" i="6" s="1"/>
  <c r="J20" i="6"/>
  <c r="K20" i="6" s="1"/>
  <c r="I20" i="6"/>
  <c r="E20" i="6"/>
  <c r="F20" i="6" s="1"/>
  <c r="G20" i="6" s="1"/>
  <c r="G19" i="6"/>
  <c r="E19" i="6"/>
  <c r="F19" i="6" s="1"/>
  <c r="C19" i="6"/>
  <c r="I21" i="6" s="1"/>
  <c r="J21" i="6" s="1"/>
  <c r="K21" i="6" s="1"/>
  <c r="I18" i="6"/>
  <c r="J18" i="6" s="1"/>
  <c r="K18" i="6" s="1"/>
  <c r="I16" i="6"/>
  <c r="J16" i="6" s="1"/>
  <c r="K16" i="6" s="1"/>
  <c r="K15" i="6"/>
  <c r="I15" i="6"/>
  <c r="J15" i="6" s="1"/>
  <c r="C15" i="6"/>
  <c r="E14" i="6"/>
  <c r="F14" i="6" s="1"/>
  <c r="G14" i="6" s="1"/>
  <c r="G13" i="6"/>
  <c r="E13" i="6"/>
  <c r="F13" i="6" s="1"/>
  <c r="E12" i="6"/>
  <c r="F12" i="6" s="1"/>
  <c r="G12" i="6" s="1"/>
  <c r="G11" i="6"/>
  <c r="E11" i="6"/>
  <c r="F11" i="6" s="1"/>
  <c r="C11" i="6"/>
  <c r="I14" i="6" s="1"/>
  <c r="J14" i="6" s="1"/>
  <c r="K14" i="6" s="1"/>
  <c r="I10" i="6"/>
  <c r="J10" i="6" s="1"/>
  <c r="K10" i="6" s="1"/>
  <c r="I8" i="6"/>
  <c r="J8" i="6" s="1"/>
  <c r="K8" i="6" s="1"/>
  <c r="C7" i="6"/>
  <c r="I7" i="6" s="1"/>
  <c r="J7" i="6" s="1"/>
  <c r="K7" i="6" s="1"/>
  <c r="I50" i="5"/>
  <c r="J50" i="5" s="1"/>
  <c r="K50" i="5" s="1"/>
  <c r="I49" i="5"/>
  <c r="J49" i="5" s="1"/>
  <c r="K49" i="5" s="1"/>
  <c r="K48" i="5"/>
  <c r="N47" i="5"/>
  <c r="C47" i="5"/>
  <c r="I48" i="5" s="1"/>
  <c r="J48" i="5" s="1"/>
  <c r="C43" i="5"/>
  <c r="I42" i="5"/>
  <c r="J42" i="5" s="1"/>
  <c r="K42" i="5" s="1"/>
  <c r="G42" i="5"/>
  <c r="E42" i="5"/>
  <c r="F42" i="5" s="1"/>
  <c r="J41" i="5"/>
  <c r="K41" i="5" s="1"/>
  <c r="E41" i="5"/>
  <c r="F41" i="5" s="1"/>
  <c r="G41" i="5" s="1"/>
  <c r="I40" i="5"/>
  <c r="J40" i="5" s="1"/>
  <c r="K40" i="5" s="1"/>
  <c r="E40" i="5"/>
  <c r="F40" i="5" s="1"/>
  <c r="G40" i="5" s="1"/>
  <c r="E39" i="5"/>
  <c r="F39" i="5" s="1"/>
  <c r="G39" i="5" s="1"/>
  <c r="C39" i="5"/>
  <c r="I41" i="5" s="1"/>
  <c r="I38" i="5"/>
  <c r="J38" i="5" s="1"/>
  <c r="K38" i="5" s="1"/>
  <c r="E38" i="5"/>
  <c r="F38" i="5" s="1"/>
  <c r="G38" i="5" s="1"/>
  <c r="K37" i="5"/>
  <c r="I36" i="5"/>
  <c r="J36" i="5" s="1"/>
  <c r="K36" i="5" s="1"/>
  <c r="E36" i="5"/>
  <c r="F36" i="5" s="1"/>
  <c r="G36" i="5" s="1"/>
  <c r="C35" i="5"/>
  <c r="I37" i="5" s="1"/>
  <c r="J37" i="5" s="1"/>
  <c r="E34" i="5"/>
  <c r="F34" i="5" s="1"/>
  <c r="G34" i="5" s="1"/>
  <c r="E32" i="5"/>
  <c r="F32" i="5" s="1"/>
  <c r="G32" i="5" s="1"/>
  <c r="I31" i="5"/>
  <c r="J31" i="5" s="1"/>
  <c r="K31" i="5" s="1"/>
  <c r="C31" i="5"/>
  <c r="E29" i="5"/>
  <c r="F29" i="5" s="1"/>
  <c r="G29" i="5" s="1"/>
  <c r="C27" i="5"/>
  <c r="I27" i="5" s="1"/>
  <c r="J27" i="5" s="1"/>
  <c r="K27" i="5" s="1"/>
  <c r="I26" i="5"/>
  <c r="J26" i="5" s="1"/>
  <c r="K26" i="5" s="1"/>
  <c r="E26" i="5"/>
  <c r="F26" i="5" s="1"/>
  <c r="G26" i="5" s="1"/>
  <c r="J25" i="5"/>
  <c r="K25" i="5" s="1"/>
  <c r="E25" i="5"/>
  <c r="F25" i="5" s="1"/>
  <c r="G25" i="5" s="1"/>
  <c r="I24" i="5"/>
  <c r="J24" i="5" s="1"/>
  <c r="K24" i="5" s="1"/>
  <c r="G24" i="5"/>
  <c r="E24" i="5"/>
  <c r="F24" i="5" s="1"/>
  <c r="F23" i="5"/>
  <c r="G23" i="5" s="1"/>
  <c r="E23" i="5"/>
  <c r="C23" i="5"/>
  <c r="I25" i="5" s="1"/>
  <c r="I22" i="5"/>
  <c r="J22" i="5" s="1"/>
  <c r="K22" i="5" s="1"/>
  <c r="E22" i="5"/>
  <c r="F22" i="5" s="1"/>
  <c r="G22" i="5" s="1"/>
  <c r="I20" i="5"/>
  <c r="J20" i="5" s="1"/>
  <c r="K20" i="5" s="1"/>
  <c r="E20" i="5"/>
  <c r="F20" i="5" s="1"/>
  <c r="G20" i="5" s="1"/>
  <c r="C19" i="5"/>
  <c r="I21" i="5" s="1"/>
  <c r="J21" i="5" s="1"/>
  <c r="K21" i="5" s="1"/>
  <c r="C15" i="5"/>
  <c r="E16" i="5" s="1"/>
  <c r="F16" i="5" s="1"/>
  <c r="G16" i="5" s="1"/>
  <c r="E13" i="5"/>
  <c r="F13" i="5" s="1"/>
  <c r="G13" i="5" s="1"/>
  <c r="I11" i="5"/>
  <c r="J11" i="5" s="1"/>
  <c r="K11" i="5" s="1"/>
  <c r="E11" i="5"/>
  <c r="F11" i="5" s="1"/>
  <c r="G11" i="5" s="1"/>
  <c r="C11" i="5"/>
  <c r="I10" i="5"/>
  <c r="J10" i="5" s="1"/>
  <c r="K10" i="5" s="1"/>
  <c r="E10" i="5"/>
  <c r="F10" i="5" s="1"/>
  <c r="G10" i="5" s="1"/>
  <c r="E9" i="5"/>
  <c r="F9" i="5" s="1"/>
  <c r="G9" i="5" s="1"/>
  <c r="I8" i="5"/>
  <c r="J8" i="5" s="1"/>
  <c r="K8" i="5" s="1"/>
  <c r="E8" i="5"/>
  <c r="F8" i="5" s="1"/>
  <c r="G8" i="5" s="1"/>
  <c r="E7" i="5"/>
  <c r="F7" i="5" s="1"/>
  <c r="G7" i="5" s="1"/>
  <c r="C7" i="5"/>
  <c r="I9" i="5" s="1"/>
  <c r="J9" i="5" s="1"/>
  <c r="K9" i="5" s="1"/>
  <c r="N47" i="4"/>
  <c r="C47" i="4"/>
  <c r="I48" i="4" s="1"/>
  <c r="J48" i="4" s="1"/>
  <c r="K48" i="4" s="1"/>
  <c r="C43" i="4"/>
  <c r="I46" i="4" s="1"/>
  <c r="J46" i="4" s="1"/>
  <c r="K46" i="4" s="1"/>
  <c r="C39" i="4"/>
  <c r="E42" i="4" s="1"/>
  <c r="F42" i="4" s="1"/>
  <c r="G42" i="4" s="1"/>
  <c r="C35" i="4"/>
  <c r="I37" i="4" s="1"/>
  <c r="J37" i="4" s="1"/>
  <c r="K37" i="4" s="1"/>
  <c r="I32" i="4"/>
  <c r="J32" i="4" s="1"/>
  <c r="K32" i="4" s="1"/>
  <c r="C31" i="4"/>
  <c r="E33" i="4" s="1"/>
  <c r="F33" i="4" s="1"/>
  <c r="G33" i="4" s="1"/>
  <c r="C27" i="4"/>
  <c r="I30" i="4" s="1"/>
  <c r="J30" i="4" s="1"/>
  <c r="K30" i="4" s="1"/>
  <c r="E25" i="4"/>
  <c r="F25" i="4" s="1"/>
  <c r="G25" i="4" s="1"/>
  <c r="C23" i="4"/>
  <c r="E26" i="4" s="1"/>
  <c r="F26" i="4" s="1"/>
  <c r="G26" i="4" s="1"/>
  <c r="C19" i="4"/>
  <c r="I21" i="4" s="1"/>
  <c r="J21" i="4" s="1"/>
  <c r="K21" i="4" s="1"/>
  <c r="I18" i="4"/>
  <c r="J18" i="4" s="1"/>
  <c r="K18" i="4" s="1"/>
  <c r="C15" i="4"/>
  <c r="E17" i="4" s="1"/>
  <c r="F17" i="4" s="1"/>
  <c r="G17" i="4" s="1"/>
  <c r="C11" i="4"/>
  <c r="I14" i="4" s="1"/>
  <c r="J14" i="4" s="1"/>
  <c r="K14" i="4" s="1"/>
  <c r="C7" i="4"/>
  <c r="E10" i="4" s="1"/>
  <c r="F10" i="4" s="1"/>
  <c r="G10" i="4" s="1"/>
  <c r="T51" i="4" l="1"/>
  <c r="T57" i="4"/>
  <c r="R50" i="5"/>
  <c r="O23" i="1" s="1"/>
  <c r="S51" i="5"/>
  <c r="S57" i="5"/>
  <c r="R56" i="5"/>
  <c r="O17" i="1" s="1"/>
  <c r="S57" i="6"/>
  <c r="R50" i="6"/>
  <c r="R56" i="6"/>
  <c r="S51" i="6"/>
  <c r="Q31" i="4"/>
  <c r="E16" i="4"/>
  <c r="F16" i="4" s="1"/>
  <c r="G16" i="4" s="1"/>
  <c r="E23" i="4"/>
  <c r="F23" i="4" s="1"/>
  <c r="G23" i="4" s="1"/>
  <c r="E32" i="4"/>
  <c r="F32" i="4" s="1"/>
  <c r="G32" i="4" s="1"/>
  <c r="U8" i="5"/>
  <c r="W19" i="6"/>
  <c r="Q20" i="5"/>
  <c r="Q22" i="5"/>
  <c r="U46" i="6"/>
  <c r="U45" i="6"/>
  <c r="U44" i="6"/>
  <c r="U43" i="6"/>
  <c r="U42" i="6"/>
  <c r="W46" i="6"/>
  <c r="W45" i="6"/>
  <c r="W44" i="6"/>
  <c r="W43" i="6"/>
  <c r="W42" i="6"/>
  <c r="Q45" i="6"/>
  <c r="Q44" i="6"/>
  <c r="Q42" i="6"/>
  <c r="O46" i="6"/>
  <c r="O45" i="6"/>
  <c r="O44" i="6"/>
  <c r="O43" i="6"/>
  <c r="O42" i="6"/>
  <c r="Q46" i="6"/>
  <c r="Q43" i="6"/>
  <c r="U35" i="6"/>
  <c r="U34" i="6"/>
  <c r="U33" i="6"/>
  <c r="U32" i="6"/>
  <c r="U31" i="6"/>
  <c r="W35" i="6"/>
  <c r="W34" i="6"/>
  <c r="W33" i="6"/>
  <c r="W32" i="6"/>
  <c r="W31" i="6"/>
  <c r="Q35" i="6"/>
  <c r="Q34" i="6"/>
  <c r="Q32" i="6"/>
  <c r="O35" i="6"/>
  <c r="O34" i="6"/>
  <c r="O33" i="6"/>
  <c r="O32" i="6"/>
  <c r="O31" i="6"/>
  <c r="Q33" i="6"/>
  <c r="Q31" i="6"/>
  <c r="U45" i="5"/>
  <c r="U44" i="5"/>
  <c r="U43" i="5"/>
  <c r="U42" i="5"/>
  <c r="U41" i="5"/>
  <c r="O45" i="5"/>
  <c r="O44" i="5"/>
  <c r="O43" i="5"/>
  <c r="O42" i="5"/>
  <c r="O41" i="5"/>
  <c r="Q45" i="5"/>
  <c r="Q43" i="5"/>
  <c r="Q41" i="5"/>
  <c r="W45" i="5"/>
  <c r="W44" i="5"/>
  <c r="W43" i="5"/>
  <c r="W42" i="5"/>
  <c r="W41" i="5"/>
  <c r="Q44" i="5"/>
  <c r="Q42" i="5"/>
  <c r="Q31" i="5"/>
  <c r="O34" i="5"/>
  <c r="O33" i="5"/>
  <c r="O32" i="5"/>
  <c r="O31" i="5"/>
  <c r="O30" i="5"/>
  <c r="Q34" i="5"/>
  <c r="Q32" i="5"/>
  <c r="W34" i="5"/>
  <c r="W33" i="5"/>
  <c r="W32" i="5"/>
  <c r="W31" i="5"/>
  <c r="W30" i="5"/>
  <c r="Q33" i="5"/>
  <c r="Q30" i="5"/>
  <c r="W22" i="5"/>
  <c r="U33" i="5"/>
  <c r="U31" i="5"/>
  <c r="U34" i="5"/>
  <c r="U32" i="5"/>
  <c r="U30" i="5"/>
  <c r="O23" i="5"/>
  <c r="O20" i="5"/>
  <c r="Q23" i="5"/>
  <c r="O19" i="5"/>
  <c r="Q21" i="5"/>
  <c r="W19" i="5"/>
  <c r="W21" i="5"/>
  <c r="W20" i="5"/>
  <c r="O21" i="5"/>
  <c r="U35" i="4"/>
  <c r="U31" i="4"/>
  <c r="U32" i="4"/>
  <c r="U33" i="4"/>
  <c r="U34" i="4"/>
  <c r="U45" i="4"/>
  <c r="U42" i="4"/>
  <c r="U43" i="4"/>
  <c r="U46" i="4"/>
  <c r="U44" i="4"/>
  <c r="O22" i="5"/>
  <c r="Q19" i="5"/>
  <c r="W23" i="5"/>
  <c r="O35" i="4"/>
  <c r="O33" i="4"/>
  <c r="W33" i="4"/>
  <c r="Q35" i="4"/>
  <c r="Q34" i="4"/>
  <c r="Q33" i="4"/>
  <c r="Q32" i="4"/>
  <c r="O34" i="4"/>
  <c r="O32" i="4"/>
  <c r="O31" i="4"/>
  <c r="W35" i="4"/>
  <c r="W34" i="4"/>
  <c r="W32" i="4"/>
  <c r="W31" i="4"/>
  <c r="O46" i="4"/>
  <c r="Q46" i="4"/>
  <c r="Q45" i="4"/>
  <c r="Q44" i="4"/>
  <c r="Q43" i="4"/>
  <c r="Q42" i="4"/>
  <c r="O45" i="4"/>
  <c r="O44" i="4"/>
  <c r="O43" i="4"/>
  <c r="O42" i="4"/>
  <c r="W46" i="4"/>
  <c r="W45" i="4"/>
  <c r="W44" i="4"/>
  <c r="W43" i="4"/>
  <c r="W42" i="4"/>
  <c r="Q23" i="4"/>
  <c r="O22" i="4"/>
  <c r="U23" i="4"/>
  <c r="W22" i="4"/>
  <c r="O8" i="4"/>
  <c r="O20" i="4"/>
  <c r="Q20" i="4"/>
  <c r="Q22" i="4"/>
  <c r="W23" i="4"/>
  <c r="U19" i="4"/>
  <c r="O23" i="4"/>
  <c r="Q19" i="4"/>
  <c r="O19" i="4"/>
  <c r="Q20" i="6"/>
  <c r="O21" i="6"/>
  <c r="W22" i="6"/>
  <c r="U21" i="4"/>
  <c r="U22" i="4"/>
  <c r="U20" i="4"/>
  <c r="O19" i="6"/>
  <c r="W21" i="4"/>
  <c r="W19" i="4"/>
  <c r="Q21" i="4"/>
  <c r="O21" i="4"/>
  <c r="W20" i="4"/>
  <c r="W23" i="6"/>
  <c r="Q19" i="6"/>
  <c r="W21" i="6"/>
  <c r="Q23" i="6"/>
  <c r="O20" i="6"/>
  <c r="Q21" i="6"/>
  <c r="O23" i="6"/>
  <c r="O22" i="6"/>
  <c r="W20" i="6"/>
  <c r="Q22" i="6"/>
  <c r="U20" i="6"/>
  <c r="U19" i="6"/>
  <c r="U21" i="6"/>
  <c r="U22" i="6"/>
  <c r="U23" i="6"/>
  <c r="U19" i="5"/>
  <c r="U21" i="5"/>
  <c r="U22" i="5"/>
  <c r="U23" i="5"/>
  <c r="U20" i="5"/>
  <c r="E7" i="4"/>
  <c r="F7" i="4" s="1"/>
  <c r="G7" i="4" s="1"/>
  <c r="E39" i="4"/>
  <c r="F39" i="4" s="1"/>
  <c r="G39" i="4" s="1"/>
  <c r="I34" i="4"/>
  <c r="J34" i="4" s="1"/>
  <c r="K34" i="4" s="1"/>
  <c r="E41" i="4"/>
  <c r="F41" i="4" s="1"/>
  <c r="G41" i="4" s="1"/>
  <c r="I20" i="4"/>
  <c r="J20" i="4" s="1"/>
  <c r="K20" i="4" s="1"/>
  <c r="I36" i="4"/>
  <c r="J36" i="4" s="1"/>
  <c r="K36" i="4" s="1"/>
  <c r="I38" i="4"/>
  <c r="J38" i="4" s="1"/>
  <c r="K38" i="4" s="1"/>
  <c r="E18" i="4"/>
  <c r="F18" i="4" s="1"/>
  <c r="G18" i="4" s="1"/>
  <c r="E19" i="4"/>
  <c r="F19" i="4" s="1"/>
  <c r="G19" i="4" s="1"/>
  <c r="E21" i="4"/>
  <c r="F21" i="4" s="1"/>
  <c r="G21" i="4" s="1"/>
  <c r="E34" i="4"/>
  <c r="F34" i="4" s="1"/>
  <c r="G34" i="4" s="1"/>
  <c r="E35" i="4"/>
  <c r="F35" i="4" s="1"/>
  <c r="G35" i="4" s="1"/>
  <c r="E37" i="4"/>
  <c r="F37" i="4" s="1"/>
  <c r="G37" i="4" s="1"/>
  <c r="I22" i="4"/>
  <c r="J22" i="4" s="1"/>
  <c r="K22" i="4" s="1"/>
  <c r="E9" i="4"/>
  <c r="F9" i="4" s="1"/>
  <c r="G9" i="4" s="1"/>
  <c r="I16" i="4"/>
  <c r="J16" i="4" s="1"/>
  <c r="K16" i="4" s="1"/>
  <c r="E20" i="4"/>
  <c r="F20" i="4" s="1"/>
  <c r="G20" i="4" s="1"/>
  <c r="E22" i="4"/>
  <c r="F22" i="4" s="1"/>
  <c r="G22" i="4" s="1"/>
  <c r="E36" i="4"/>
  <c r="F36" i="4" s="1"/>
  <c r="G36" i="4" s="1"/>
  <c r="E38" i="4"/>
  <c r="F38" i="4" s="1"/>
  <c r="G38" i="4" s="1"/>
  <c r="I50" i="4"/>
  <c r="J50" i="4" s="1"/>
  <c r="K50" i="4" s="1"/>
  <c r="E33" i="6"/>
  <c r="F33" i="6" s="1"/>
  <c r="G33" i="6" s="1"/>
  <c r="E31" i="6"/>
  <c r="F31" i="6" s="1"/>
  <c r="G31" i="6" s="1"/>
  <c r="E34" i="6"/>
  <c r="F34" i="6" s="1"/>
  <c r="G34" i="6" s="1"/>
  <c r="E32" i="6"/>
  <c r="F32" i="6" s="1"/>
  <c r="G32" i="6" s="1"/>
  <c r="I34" i="6"/>
  <c r="J34" i="6" s="1"/>
  <c r="K34" i="6" s="1"/>
  <c r="I32" i="6"/>
  <c r="J32" i="6" s="1"/>
  <c r="K32" i="6" s="1"/>
  <c r="I33" i="6"/>
  <c r="J33" i="6" s="1"/>
  <c r="K33" i="6" s="1"/>
  <c r="E17" i="6"/>
  <c r="F17" i="6" s="1"/>
  <c r="G17" i="6" s="1"/>
  <c r="E15" i="6"/>
  <c r="F15" i="6" s="1"/>
  <c r="G15" i="6" s="1"/>
  <c r="E18" i="6"/>
  <c r="F18" i="6" s="1"/>
  <c r="G18" i="6" s="1"/>
  <c r="E16" i="6"/>
  <c r="F16" i="6" s="1"/>
  <c r="G16" i="6" s="1"/>
  <c r="I17" i="6"/>
  <c r="J17" i="6" s="1"/>
  <c r="K17" i="6" s="1"/>
  <c r="E26" i="6"/>
  <c r="F26" i="6" s="1"/>
  <c r="G26" i="6" s="1"/>
  <c r="E24" i="6"/>
  <c r="F24" i="6" s="1"/>
  <c r="G24" i="6" s="1"/>
  <c r="E25" i="6"/>
  <c r="F25" i="6" s="1"/>
  <c r="G25" i="6" s="1"/>
  <c r="E23" i="6"/>
  <c r="F23" i="6" s="1"/>
  <c r="G23" i="6" s="1"/>
  <c r="I25" i="6"/>
  <c r="J25" i="6" s="1"/>
  <c r="K25" i="6" s="1"/>
  <c r="I31" i="6"/>
  <c r="J31" i="6" s="1"/>
  <c r="K31" i="6" s="1"/>
  <c r="F10" i="6"/>
  <c r="G10" i="6" s="1"/>
  <c r="E8" i="6"/>
  <c r="F8" i="6" s="1"/>
  <c r="G8" i="6" s="1"/>
  <c r="E9" i="6"/>
  <c r="F9" i="6" s="1"/>
  <c r="G9" i="6" s="1"/>
  <c r="E7" i="6"/>
  <c r="F7" i="6" s="1"/>
  <c r="G7" i="6" s="1"/>
  <c r="I9" i="6"/>
  <c r="J9" i="6" s="1"/>
  <c r="K9" i="6" s="1"/>
  <c r="I39" i="6"/>
  <c r="J39" i="6" s="1"/>
  <c r="K39" i="6" s="1"/>
  <c r="I41" i="6"/>
  <c r="J41" i="6" s="1"/>
  <c r="K41" i="6" s="1"/>
  <c r="I11" i="6"/>
  <c r="J11" i="6" s="1"/>
  <c r="K11" i="6" s="1"/>
  <c r="I13" i="6"/>
  <c r="J13" i="6" s="1"/>
  <c r="K13" i="6" s="1"/>
  <c r="I27" i="6"/>
  <c r="J27" i="6" s="1"/>
  <c r="K27" i="6" s="1"/>
  <c r="I29" i="6"/>
  <c r="J29" i="6" s="1"/>
  <c r="K29" i="6" s="1"/>
  <c r="E39" i="6"/>
  <c r="F39" i="6" s="1"/>
  <c r="G39" i="6" s="1"/>
  <c r="E41" i="6"/>
  <c r="F41" i="6" s="1"/>
  <c r="G41" i="6" s="1"/>
  <c r="I43" i="6"/>
  <c r="J43" i="6" s="1"/>
  <c r="K43" i="6" s="1"/>
  <c r="I45" i="6"/>
  <c r="J45" i="6" s="1"/>
  <c r="K45" i="6" s="1"/>
  <c r="I50" i="6"/>
  <c r="J50" i="6" s="1"/>
  <c r="K50" i="6" s="1"/>
  <c r="I49" i="6"/>
  <c r="J49" i="6" s="1"/>
  <c r="K49" i="6" s="1"/>
  <c r="I12" i="6"/>
  <c r="J12" i="6" s="1"/>
  <c r="K12" i="6" s="1"/>
  <c r="I19" i="6"/>
  <c r="J19" i="6" s="1"/>
  <c r="K19" i="6" s="1"/>
  <c r="I28" i="6"/>
  <c r="J28" i="6" s="1"/>
  <c r="K28" i="6" s="1"/>
  <c r="I35" i="6"/>
  <c r="J35" i="6" s="1"/>
  <c r="K35" i="6" s="1"/>
  <c r="E40" i="6"/>
  <c r="F40" i="6" s="1"/>
  <c r="G40" i="6" s="1"/>
  <c r="I44" i="6"/>
  <c r="J44" i="6" s="1"/>
  <c r="K44" i="6" s="1"/>
  <c r="I47" i="6"/>
  <c r="J47" i="6" s="1"/>
  <c r="K47" i="6" s="1"/>
  <c r="I17" i="5"/>
  <c r="J17" i="5" s="1"/>
  <c r="K17" i="5" s="1"/>
  <c r="I15" i="5"/>
  <c r="J15" i="5" s="1"/>
  <c r="K15" i="5" s="1"/>
  <c r="E27" i="5"/>
  <c r="F27" i="5" s="1"/>
  <c r="G27" i="5" s="1"/>
  <c r="E33" i="5"/>
  <c r="F33" i="5" s="1"/>
  <c r="G33" i="5" s="1"/>
  <c r="E31" i="5"/>
  <c r="F31" i="5" s="1"/>
  <c r="G31" i="5" s="1"/>
  <c r="I34" i="5"/>
  <c r="J34" i="5" s="1"/>
  <c r="K34" i="5" s="1"/>
  <c r="I32" i="5"/>
  <c r="J32" i="5" s="1"/>
  <c r="K32" i="5" s="1"/>
  <c r="I33" i="5"/>
  <c r="J33" i="5" s="1"/>
  <c r="K33" i="5" s="1"/>
  <c r="I46" i="5"/>
  <c r="J46" i="5" s="1"/>
  <c r="K46" i="5" s="1"/>
  <c r="I44" i="5"/>
  <c r="J44" i="5" s="1"/>
  <c r="K44" i="5" s="1"/>
  <c r="E46" i="5"/>
  <c r="F46" i="5" s="1"/>
  <c r="G46" i="5" s="1"/>
  <c r="E44" i="5"/>
  <c r="F44" i="5" s="1"/>
  <c r="G44" i="5" s="1"/>
  <c r="E45" i="5"/>
  <c r="F45" i="5" s="1"/>
  <c r="G45" i="5" s="1"/>
  <c r="E43" i="5"/>
  <c r="F43" i="5" s="1"/>
  <c r="G43" i="5" s="1"/>
  <c r="I45" i="5"/>
  <c r="J45" i="5" s="1"/>
  <c r="K45" i="5" s="1"/>
  <c r="E14" i="5"/>
  <c r="F14" i="5" s="1"/>
  <c r="G14" i="5" s="1"/>
  <c r="E12" i="5"/>
  <c r="F12" i="5" s="1"/>
  <c r="G12" i="5" s="1"/>
  <c r="I14" i="5"/>
  <c r="J14" i="5" s="1"/>
  <c r="K14" i="5" s="1"/>
  <c r="I12" i="5"/>
  <c r="J12" i="5" s="1"/>
  <c r="K12" i="5" s="1"/>
  <c r="I13" i="5"/>
  <c r="J13" i="5" s="1"/>
  <c r="K13" i="5" s="1"/>
  <c r="I43" i="5"/>
  <c r="J43" i="5" s="1"/>
  <c r="K43" i="5" s="1"/>
  <c r="E17" i="5"/>
  <c r="F17" i="5" s="1"/>
  <c r="G17" i="5" s="1"/>
  <c r="E15" i="5"/>
  <c r="F15" i="5" s="1"/>
  <c r="G15" i="5" s="1"/>
  <c r="I18" i="5"/>
  <c r="J18" i="5" s="1"/>
  <c r="K18" i="5" s="1"/>
  <c r="I16" i="5"/>
  <c r="J16" i="5" s="1"/>
  <c r="K16" i="5" s="1"/>
  <c r="E18" i="5"/>
  <c r="F18" i="5" s="1"/>
  <c r="G18" i="5" s="1"/>
  <c r="I30" i="5"/>
  <c r="J30" i="5" s="1"/>
  <c r="K30" i="5" s="1"/>
  <c r="I28" i="5"/>
  <c r="J28" i="5" s="1"/>
  <c r="K28" i="5" s="1"/>
  <c r="E30" i="5"/>
  <c r="F30" i="5" s="1"/>
  <c r="G30" i="5" s="1"/>
  <c r="E28" i="5"/>
  <c r="F28" i="5" s="1"/>
  <c r="G28" i="5" s="1"/>
  <c r="I29" i="5"/>
  <c r="J29" i="5" s="1"/>
  <c r="K29" i="5" s="1"/>
  <c r="I7" i="5"/>
  <c r="J7" i="5" s="1"/>
  <c r="K7" i="5" s="1"/>
  <c r="E19" i="5"/>
  <c r="F19" i="5" s="1"/>
  <c r="G19" i="5" s="1"/>
  <c r="E21" i="5"/>
  <c r="F21" i="5" s="1"/>
  <c r="G21" i="5" s="1"/>
  <c r="I23" i="5"/>
  <c r="J23" i="5" s="1"/>
  <c r="K23" i="5" s="1"/>
  <c r="E35" i="5"/>
  <c r="F35" i="5" s="1"/>
  <c r="G35" i="5" s="1"/>
  <c r="E37" i="5"/>
  <c r="F37" i="5" s="1"/>
  <c r="G37" i="5" s="1"/>
  <c r="I39" i="5"/>
  <c r="J39" i="5" s="1"/>
  <c r="K39" i="5" s="1"/>
  <c r="I19" i="5"/>
  <c r="J19" i="5" s="1"/>
  <c r="K19" i="5" s="1"/>
  <c r="I35" i="5"/>
  <c r="J35" i="5" s="1"/>
  <c r="K35" i="5" s="1"/>
  <c r="I47" i="5"/>
  <c r="J47" i="5" s="1"/>
  <c r="K47" i="5" s="1"/>
  <c r="I43" i="4"/>
  <c r="J43" i="4" s="1"/>
  <c r="K43" i="4" s="1"/>
  <c r="I7" i="4"/>
  <c r="J7" i="4" s="1"/>
  <c r="K7" i="4" s="1"/>
  <c r="I9" i="4"/>
  <c r="J9" i="4" s="1"/>
  <c r="K9" i="4" s="1"/>
  <c r="E12" i="4"/>
  <c r="F12" i="4" s="1"/>
  <c r="G12" i="4" s="1"/>
  <c r="E14" i="4"/>
  <c r="F14" i="4" s="1"/>
  <c r="G14" i="4" s="1"/>
  <c r="I23" i="4"/>
  <c r="J23" i="4" s="1"/>
  <c r="K23" i="4" s="1"/>
  <c r="I25" i="4"/>
  <c r="J25" i="4" s="1"/>
  <c r="K25" i="4" s="1"/>
  <c r="E28" i="4"/>
  <c r="F28" i="4" s="1"/>
  <c r="G28" i="4" s="1"/>
  <c r="E30" i="4"/>
  <c r="F30" i="4" s="1"/>
  <c r="G30" i="4" s="1"/>
  <c r="I39" i="4"/>
  <c r="J39" i="4" s="1"/>
  <c r="K39" i="4" s="1"/>
  <c r="I41" i="4"/>
  <c r="J41" i="4" s="1"/>
  <c r="K41" i="4" s="1"/>
  <c r="E44" i="4"/>
  <c r="F44" i="4" s="1"/>
  <c r="G44" i="4" s="1"/>
  <c r="E46" i="4"/>
  <c r="F46" i="4" s="1"/>
  <c r="G46" i="4" s="1"/>
  <c r="I27" i="4"/>
  <c r="J27" i="4" s="1"/>
  <c r="K27" i="4" s="1"/>
  <c r="I29" i="4"/>
  <c r="J29" i="4" s="1"/>
  <c r="K29" i="4" s="1"/>
  <c r="I8" i="4"/>
  <c r="J8" i="4" s="1"/>
  <c r="K8" i="4" s="1"/>
  <c r="I10" i="4"/>
  <c r="J10" i="4" s="1"/>
  <c r="K10" i="4" s="1"/>
  <c r="E11" i="4"/>
  <c r="F11" i="4" s="1"/>
  <c r="G11" i="4" s="1"/>
  <c r="E13" i="4"/>
  <c r="F13" i="4" s="1"/>
  <c r="G13" i="4" s="1"/>
  <c r="I15" i="4"/>
  <c r="J15" i="4" s="1"/>
  <c r="K15" i="4" s="1"/>
  <c r="I17" i="4"/>
  <c r="J17" i="4" s="1"/>
  <c r="K17" i="4" s="1"/>
  <c r="I24" i="4"/>
  <c r="J24" i="4" s="1"/>
  <c r="K24" i="4" s="1"/>
  <c r="I26" i="4"/>
  <c r="J26" i="4" s="1"/>
  <c r="K26" i="4" s="1"/>
  <c r="E27" i="4"/>
  <c r="F27" i="4" s="1"/>
  <c r="G27" i="4" s="1"/>
  <c r="E29" i="4"/>
  <c r="F29" i="4" s="1"/>
  <c r="G29" i="4" s="1"/>
  <c r="I31" i="4"/>
  <c r="J31" i="4" s="1"/>
  <c r="K31" i="4" s="1"/>
  <c r="I33" i="4"/>
  <c r="J33" i="4" s="1"/>
  <c r="K33" i="4" s="1"/>
  <c r="I40" i="4"/>
  <c r="J40" i="4" s="1"/>
  <c r="K40" i="4" s="1"/>
  <c r="I42" i="4"/>
  <c r="J42" i="4" s="1"/>
  <c r="K42" i="4" s="1"/>
  <c r="E43" i="4"/>
  <c r="F43" i="4" s="1"/>
  <c r="G43" i="4" s="1"/>
  <c r="E45" i="4"/>
  <c r="F45" i="4" s="1"/>
  <c r="G45" i="4" s="1"/>
  <c r="I49" i="4"/>
  <c r="J49" i="4" s="1"/>
  <c r="K49" i="4" s="1"/>
  <c r="I11" i="4"/>
  <c r="J11" i="4" s="1"/>
  <c r="K11" i="4" s="1"/>
  <c r="I13" i="4"/>
  <c r="J13" i="4" s="1"/>
  <c r="K13" i="4" s="1"/>
  <c r="I45" i="4"/>
  <c r="J45" i="4" s="1"/>
  <c r="K45" i="4" s="1"/>
  <c r="E8" i="4"/>
  <c r="F8" i="4" s="1"/>
  <c r="G8" i="4" s="1"/>
  <c r="I12" i="4"/>
  <c r="J12" i="4" s="1"/>
  <c r="K12" i="4" s="1"/>
  <c r="E15" i="4"/>
  <c r="F15" i="4" s="1"/>
  <c r="G15" i="4" s="1"/>
  <c r="I19" i="4"/>
  <c r="J19" i="4" s="1"/>
  <c r="K19" i="4" s="1"/>
  <c r="E24" i="4"/>
  <c r="F24" i="4" s="1"/>
  <c r="G24" i="4" s="1"/>
  <c r="I28" i="4"/>
  <c r="J28" i="4" s="1"/>
  <c r="K28" i="4" s="1"/>
  <c r="E31" i="4"/>
  <c r="F31" i="4" s="1"/>
  <c r="G31" i="4" s="1"/>
  <c r="I35" i="4"/>
  <c r="J35" i="4" s="1"/>
  <c r="K35" i="4" s="1"/>
  <c r="E40" i="4"/>
  <c r="F40" i="4" s="1"/>
  <c r="G40" i="4" s="1"/>
  <c r="I44" i="4"/>
  <c r="J44" i="4" s="1"/>
  <c r="K44" i="4" s="1"/>
  <c r="I47" i="4"/>
  <c r="J47" i="4" s="1"/>
  <c r="K47" i="4" s="1"/>
  <c r="K52" i="3"/>
  <c r="K51" i="3"/>
  <c r="K50" i="3"/>
  <c r="K49" i="3"/>
  <c r="K48" i="3"/>
  <c r="K47" i="3"/>
  <c r="K46" i="3"/>
  <c r="G57" i="3"/>
  <c r="G56" i="3"/>
  <c r="G55" i="3"/>
  <c r="G54" i="3"/>
  <c r="G53" i="3"/>
  <c r="G52" i="3"/>
  <c r="G51" i="3"/>
  <c r="G50" i="3"/>
  <c r="G49" i="3"/>
  <c r="G48" i="3"/>
  <c r="G47" i="3"/>
  <c r="G46" i="3"/>
  <c r="C55" i="3"/>
  <c r="C54" i="3"/>
  <c r="C53" i="3"/>
  <c r="C52" i="3"/>
  <c r="C51" i="3"/>
  <c r="C48" i="3"/>
  <c r="C49" i="3"/>
  <c r="C50" i="3"/>
  <c r="C47" i="3"/>
  <c r="C46" i="3"/>
  <c r="K38" i="3"/>
  <c r="K37" i="3"/>
  <c r="K36" i="3"/>
  <c r="K35" i="3"/>
  <c r="K34" i="3"/>
  <c r="K33" i="3"/>
  <c r="K32" i="3"/>
  <c r="G43" i="3"/>
  <c r="G42" i="3"/>
  <c r="G41" i="3"/>
  <c r="G40" i="3"/>
  <c r="G39" i="3"/>
  <c r="G38" i="3"/>
  <c r="G37" i="3"/>
  <c r="G36" i="3"/>
  <c r="G35" i="3"/>
  <c r="G34" i="3"/>
  <c r="G33" i="3"/>
  <c r="G32" i="3"/>
  <c r="C41" i="3"/>
  <c r="C40" i="3"/>
  <c r="C39" i="3"/>
  <c r="C38" i="3"/>
  <c r="C37" i="3"/>
  <c r="C34" i="3"/>
  <c r="C35" i="3"/>
  <c r="C36" i="3"/>
  <c r="C33" i="3"/>
  <c r="C32" i="3"/>
  <c r="O35" i="1" l="1"/>
  <c r="O11" i="1"/>
  <c r="O12" i="1" s="1"/>
  <c r="O5" i="1"/>
  <c r="O6" i="1" s="1"/>
  <c r="O29" i="1"/>
  <c r="O19" i="1"/>
  <c r="O18" i="1" s="1"/>
  <c r="O25" i="1"/>
  <c r="O24" i="1" s="1"/>
  <c r="O29" i="4"/>
  <c r="O40" i="6"/>
  <c r="U29" i="6"/>
  <c r="U40" i="6"/>
  <c r="W39" i="6" s="1"/>
  <c r="N35" i="1" s="1"/>
  <c r="O29" i="6"/>
  <c r="U39" i="5"/>
  <c r="O28" i="5"/>
  <c r="U28" i="5"/>
  <c r="O39" i="5"/>
  <c r="Q38" i="5" s="1"/>
  <c r="L23" i="1" s="1"/>
  <c r="U29" i="4"/>
  <c r="O17" i="5"/>
  <c r="Q16" i="5" s="1"/>
  <c r="L17" i="1" s="1"/>
  <c r="O40" i="4"/>
  <c r="Q39" i="4" s="1"/>
  <c r="L11" i="1" s="1"/>
  <c r="U40" i="4"/>
  <c r="W39" i="4" s="1"/>
  <c r="N11" i="1" s="1"/>
  <c r="O17" i="4"/>
  <c r="Q16" i="4" s="1"/>
  <c r="L5" i="1" s="1"/>
  <c r="O17" i="6"/>
  <c r="Q16" i="6" s="1"/>
  <c r="L29" i="1" s="1"/>
  <c r="U17" i="4"/>
  <c r="W16" i="4" s="1"/>
  <c r="N5" i="1" s="1"/>
  <c r="U17" i="5"/>
  <c r="W16" i="5" s="1"/>
  <c r="N17" i="1" s="1"/>
  <c r="U17" i="6"/>
  <c r="W16" i="6" s="1"/>
  <c r="N29" i="1" s="1"/>
  <c r="U8" i="4"/>
  <c r="Q12" i="5"/>
  <c r="W12" i="5"/>
  <c r="Q12" i="6"/>
  <c r="W11" i="6"/>
  <c r="W9" i="6"/>
  <c r="W12" i="6"/>
  <c r="W10" i="6"/>
  <c r="W8" i="6"/>
  <c r="O11" i="6"/>
  <c r="O8" i="6"/>
  <c r="O12" i="6"/>
  <c r="Q11" i="6"/>
  <c r="O9" i="6"/>
  <c r="Q8" i="6"/>
  <c r="O10" i="6"/>
  <c r="Q9" i="6"/>
  <c r="Q10" i="6"/>
  <c r="U10" i="5"/>
  <c r="U11" i="5"/>
  <c r="U12" i="5"/>
  <c r="U9" i="5"/>
  <c r="U11" i="4"/>
  <c r="U12" i="4"/>
  <c r="U9" i="4"/>
  <c r="U10" i="4"/>
  <c r="U12" i="6"/>
  <c r="U10" i="6"/>
  <c r="U8" i="6"/>
  <c r="U11" i="6"/>
  <c r="U9" i="6"/>
  <c r="O12" i="5"/>
  <c r="Q10" i="5"/>
  <c r="Q11" i="5"/>
  <c r="W9" i="5"/>
  <c r="O8" i="5"/>
  <c r="Q8" i="5"/>
  <c r="W10" i="5"/>
  <c r="O9" i="5"/>
  <c r="Q9" i="5"/>
  <c r="W11" i="5"/>
  <c r="O10" i="5"/>
  <c r="W8" i="5"/>
  <c r="O11" i="5"/>
  <c r="W10" i="4"/>
  <c r="W9" i="4"/>
  <c r="W12" i="4"/>
  <c r="W8" i="4"/>
  <c r="W11" i="4"/>
  <c r="Q12" i="4"/>
  <c r="O11" i="4"/>
  <c r="Q9" i="4"/>
  <c r="Q8" i="4"/>
  <c r="O12" i="4"/>
  <c r="Q10" i="4"/>
  <c r="O9" i="4"/>
  <c r="Q11" i="4"/>
  <c r="O10" i="4"/>
  <c r="O36" i="1" l="1"/>
  <c r="O31" i="1"/>
  <c r="O7" i="1"/>
  <c r="O37" i="1"/>
  <c r="O26" i="1"/>
  <c r="O20" i="1"/>
  <c r="O39" i="1"/>
  <c r="O27" i="1"/>
  <c r="O8" i="1"/>
  <c r="O13" i="1"/>
  <c r="Q28" i="4"/>
  <c r="K11" i="1" s="1"/>
  <c r="W27" i="5"/>
  <c r="M23" i="1" s="1"/>
  <c r="W28" i="4"/>
  <c r="M11" i="1" s="1"/>
  <c r="Q28" i="6"/>
  <c r="K35" i="1" s="1"/>
  <c r="Q27" i="5"/>
  <c r="K23" i="1" s="1"/>
  <c r="W28" i="6"/>
  <c r="M35" i="1" s="1"/>
  <c r="W39" i="5"/>
  <c r="X39" i="5" s="1"/>
  <c r="W38" i="5"/>
  <c r="Q40" i="6"/>
  <c r="R40" i="6" s="1"/>
  <c r="Q39" i="6"/>
  <c r="L35" i="1" s="1"/>
  <c r="W29" i="6"/>
  <c r="X29" i="6" s="1"/>
  <c r="Q29" i="6"/>
  <c r="R29" i="6" s="1"/>
  <c r="W40" i="6"/>
  <c r="X40" i="6" s="1"/>
  <c r="Q39" i="5"/>
  <c r="R39" i="5" s="1"/>
  <c r="W28" i="5"/>
  <c r="X28" i="5" s="1"/>
  <c r="Q28" i="5"/>
  <c r="R28" i="5" s="1"/>
  <c r="Q17" i="5"/>
  <c r="W29" i="4"/>
  <c r="X29" i="4" s="1"/>
  <c r="Q29" i="4"/>
  <c r="R29" i="4" s="1"/>
  <c r="W40" i="4"/>
  <c r="X40" i="4" s="1"/>
  <c r="Q40" i="4"/>
  <c r="R40" i="4" s="1"/>
  <c r="Q17" i="4"/>
  <c r="U6" i="5"/>
  <c r="W5" i="5" s="1"/>
  <c r="M17" i="1" s="1"/>
  <c r="W17" i="4"/>
  <c r="X17" i="4" s="1"/>
  <c r="O6" i="4"/>
  <c r="Q5" i="4" s="1"/>
  <c r="K5" i="1" s="1"/>
  <c r="W17" i="5"/>
  <c r="X17" i="5" s="1"/>
  <c r="U6" i="4"/>
  <c r="W5" i="4" s="1"/>
  <c r="M5" i="1" s="1"/>
  <c r="W17" i="6"/>
  <c r="U6" i="6"/>
  <c r="W5" i="6" s="1"/>
  <c r="M29" i="1" s="1"/>
  <c r="O6" i="6"/>
  <c r="Q5" i="6" s="1"/>
  <c r="K29" i="1" s="1"/>
  <c r="O6" i="5"/>
  <c r="O30" i="1" l="1"/>
  <c r="O32" i="1" s="1"/>
  <c r="O38" i="1"/>
  <c r="N23" i="1"/>
  <c r="O14" i="1"/>
  <c r="O21" i="1"/>
  <c r="O15" i="1"/>
  <c r="O9" i="1"/>
  <c r="Q5" i="5"/>
  <c r="M13" i="1"/>
  <c r="M12" i="1" s="1"/>
  <c r="M14" i="1" s="1"/>
  <c r="L37" i="1"/>
  <c r="M37" i="1"/>
  <c r="M36" i="1" s="1"/>
  <c r="M38" i="1" s="1"/>
  <c r="K37" i="1"/>
  <c r="K36" i="1" s="1"/>
  <c r="N37" i="1"/>
  <c r="N36" i="1" s="1"/>
  <c r="N38" i="1" s="1"/>
  <c r="N31" i="1"/>
  <c r="N30" i="1" s="1"/>
  <c r="N32" i="1" s="1"/>
  <c r="K25" i="1"/>
  <c r="M25" i="1"/>
  <c r="L25" i="1"/>
  <c r="L24" i="1" s="1"/>
  <c r="L27" i="1" s="1"/>
  <c r="L13" i="1"/>
  <c r="L12" i="1" s="1"/>
  <c r="L14" i="1" s="1"/>
  <c r="K13" i="1"/>
  <c r="K12" i="1" s="1"/>
  <c r="N13" i="1"/>
  <c r="N12" i="1" s="1"/>
  <c r="N14" i="1" s="1"/>
  <c r="W6" i="5"/>
  <c r="X6" i="5" s="1"/>
  <c r="W6" i="4"/>
  <c r="X6" i="4" s="1"/>
  <c r="Q17" i="6"/>
  <c r="R17" i="6" s="1"/>
  <c r="Q6" i="4"/>
  <c r="R6" i="4" s="1"/>
  <c r="R17" i="4"/>
  <c r="R17" i="5"/>
  <c r="X17" i="6"/>
  <c r="Q6" i="6"/>
  <c r="R6" i="6" s="1"/>
  <c r="W6" i="6"/>
  <c r="X6" i="6" s="1"/>
  <c r="Q6" i="5"/>
  <c r="R6" i="5" s="1"/>
  <c r="O33" i="1" l="1"/>
  <c r="N25" i="1"/>
  <c r="K17" i="1"/>
  <c r="K19" i="1" s="1"/>
  <c r="K18" i="1" s="1"/>
  <c r="K20" i="1" s="1"/>
  <c r="N33" i="1"/>
  <c r="N7" i="1"/>
  <c r="N6" i="1" s="1"/>
  <c r="N8" i="1" s="1"/>
  <c r="L36" i="1"/>
  <c r="L38" i="1" s="1"/>
  <c r="K38" i="1"/>
  <c r="K39" i="1"/>
  <c r="K15" i="1"/>
  <c r="K14" i="1"/>
  <c r="N15" i="1"/>
  <c r="M15" i="1"/>
  <c r="N39" i="1"/>
  <c r="L26" i="1"/>
  <c r="M24" i="1"/>
  <c r="M26" i="1" s="1"/>
  <c r="M39" i="1"/>
  <c r="K24" i="1"/>
  <c r="K26" i="1" s="1"/>
  <c r="L31" i="1"/>
  <c r="L30" i="1" s="1"/>
  <c r="L32" i="1" s="1"/>
  <c r="M31" i="1"/>
  <c r="K31" i="1"/>
  <c r="K30" i="1" s="1"/>
  <c r="K32" i="1" s="1"/>
  <c r="N19" i="1"/>
  <c r="N18" i="1" s="1"/>
  <c r="N20" i="1" s="1"/>
  <c r="L15" i="1"/>
  <c r="L19" i="1"/>
  <c r="L18" i="1" s="1"/>
  <c r="L20" i="1" s="1"/>
  <c r="L7" i="1"/>
  <c r="L6" i="1" s="1"/>
  <c r="L8" i="1" s="1"/>
  <c r="M7" i="1"/>
  <c r="M6" i="1" s="1"/>
  <c r="M8" i="1" s="1"/>
  <c r="K7" i="1"/>
  <c r="N24" i="1" l="1"/>
  <c r="N26" i="1" s="1"/>
  <c r="L33" i="1"/>
  <c r="K33" i="1"/>
  <c r="L39" i="1"/>
  <c r="K6" i="1"/>
  <c r="K8" i="1" s="1"/>
  <c r="N21" i="1"/>
  <c r="M27" i="1"/>
  <c r="N9" i="1"/>
  <c r="L21" i="1"/>
  <c r="M30" i="1"/>
  <c r="M32" i="1" s="1"/>
  <c r="K27" i="1"/>
  <c r="K21" i="1"/>
  <c r="M19" i="1"/>
  <c r="M18" i="1" s="1"/>
  <c r="M20" i="1" s="1"/>
  <c r="M9" i="1"/>
  <c r="L9" i="1"/>
  <c r="N27" i="1" l="1"/>
  <c r="K9" i="1"/>
  <c r="M21" i="1"/>
  <c r="M33" i="1"/>
</calcChain>
</file>

<file path=xl/comments1.xml><?xml version="1.0" encoding="utf-8"?>
<comments xmlns="http://schemas.openxmlformats.org/spreadsheetml/2006/main">
  <authors>
    <author>Автор</author>
  </authors>
  <commentList>
    <comment ref="D8" authorId="0" shapeId="0">
      <text>
        <r>
          <rPr>
            <b/>
            <sz val="9"/>
            <color indexed="81"/>
            <rFont val="Tahoma"/>
            <charset val="1"/>
          </rPr>
          <t>Max. 46 W/m</t>
        </r>
      </text>
    </comment>
  </commentList>
</comments>
</file>

<file path=xl/sharedStrings.xml><?xml version="1.0" encoding="utf-8"?>
<sst xmlns="http://schemas.openxmlformats.org/spreadsheetml/2006/main" count="431" uniqueCount="165">
  <si>
    <t>W/m</t>
  </si>
  <si>
    <t>Safety factor</t>
  </si>
  <si>
    <t>Cells with gray color - for data entry</t>
  </si>
  <si>
    <t>Table 1</t>
  </si>
  <si>
    <t>Pipe diameters</t>
  </si>
  <si>
    <t>Inside pipe diameter</t>
  </si>
  <si>
    <t>mm (DN*)</t>
  </si>
  <si>
    <t>inch (NPS*)</t>
  </si>
  <si>
    <t>1/2</t>
  </si>
  <si>
    <t>3/4</t>
  </si>
  <si>
    <t>1</t>
  </si>
  <si>
    <t>1 1/2</t>
  </si>
  <si>
    <t>2</t>
  </si>
  <si>
    <t>2 1/2</t>
  </si>
  <si>
    <t>3</t>
  </si>
  <si>
    <t>3 1/2</t>
  </si>
  <si>
    <t>4</t>
  </si>
  <si>
    <t>4 1/2</t>
  </si>
  <si>
    <t>5</t>
  </si>
  <si>
    <t>6</t>
  </si>
  <si>
    <t>Output of heating cables at 230/400 V</t>
  </si>
  <si>
    <t>Factory
manufacturer</t>
  </si>
  <si>
    <t>Danfoss</t>
  </si>
  <si>
    <t>DEVI</t>
  </si>
  <si>
    <t>ECflex 10T</t>
  </si>
  <si>
    <t>ECflex 18T</t>
  </si>
  <si>
    <t>ECpipeguard 25</t>
  </si>
  <si>
    <t>ECpipeguard 33</t>
  </si>
  <si>
    <t>EChotwatt 45</t>
  </si>
  <si>
    <t>EChotwatt 55</t>
  </si>
  <si>
    <t>EChotwatt 70</t>
  </si>
  <si>
    <t>ECaqua 9T</t>
  </si>
  <si>
    <t>Table 2</t>
  </si>
  <si>
    <r>
      <t>DEVIflex</t>
    </r>
    <r>
      <rPr>
        <vertAlign val="superscript"/>
        <sz val="9"/>
        <color theme="1"/>
        <rFont val="Calibri"/>
        <family val="2"/>
        <charset val="204"/>
        <scheme val="minor"/>
      </rPr>
      <t>TM</t>
    </r>
    <r>
      <rPr>
        <sz val="11"/>
        <color theme="1"/>
        <rFont val="Calibri"/>
        <family val="2"/>
        <scheme val="minor"/>
      </rPr>
      <t xml:space="preserve"> 6T</t>
    </r>
  </si>
  <si>
    <r>
      <t>DEVIflex</t>
    </r>
    <r>
      <rPr>
        <vertAlign val="superscript"/>
        <sz val="9"/>
        <color theme="1"/>
        <rFont val="Calibri"/>
        <family val="2"/>
        <charset val="204"/>
        <scheme val="minor"/>
      </rPr>
      <t>TM</t>
    </r>
    <r>
      <rPr>
        <sz val="11"/>
        <color theme="1"/>
        <rFont val="Calibri"/>
        <family val="2"/>
        <scheme val="minor"/>
      </rPr>
      <t xml:space="preserve"> 10T, DEVIbasic</t>
    </r>
    <r>
      <rPr>
        <vertAlign val="superscript"/>
        <sz val="9"/>
        <color theme="1"/>
        <rFont val="Calibri"/>
        <family val="2"/>
        <charset val="204"/>
        <scheme val="minor"/>
      </rPr>
      <t>TM</t>
    </r>
    <r>
      <rPr>
        <sz val="11"/>
        <color theme="1"/>
        <rFont val="Calibri"/>
        <family val="2"/>
        <scheme val="minor"/>
      </rPr>
      <t xml:space="preserve"> 10S, DEVIcomfort</t>
    </r>
    <r>
      <rPr>
        <vertAlign val="superscript"/>
        <sz val="9"/>
        <color theme="1"/>
        <rFont val="Calibri"/>
        <family val="2"/>
        <charset val="204"/>
        <scheme val="minor"/>
      </rPr>
      <t>TM</t>
    </r>
    <r>
      <rPr>
        <sz val="11"/>
        <color theme="1"/>
        <rFont val="Calibri"/>
        <family val="2"/>
        <scheme val="minor"/>
      </rPr>
      <t xml:space="preserve"> 10T</t>
    </r>
  </si>
  <si>
    <r>
      <t>DEVIflex</t>
    </r>
    <r>
      <rPr>
        <vertAlign val="superscript"/>
        <sz val="9"/>
        <color theme="1"/>
        <rFont val="Calibri"/>
        <family val="2"/>
        <charset val="204"/>
        <scheme val="minor"/>
      </rPr>
      <t>TM</t>
    </r>
    <r>
      <rPr>
        <sz val="11"/>
        <color theme="1"/>
        <rFont val="Calibri"/>
        <family val="2"/>
        <scheme val="minor"/>
      </rPr>
      <t xml:space="preserve"> 18T</t>
    </r>
  </si>
  <si>
    <r>
      <t>DEVIaqua</t>
    </r>
    <r>
      <rPr>
        <vertAlign val="superscript"/>
        <sz val="9"/>
        <color theme="1"/>
        <rFont val="Calibri"/>
        <family val="2"/>
        <charset val="204"/>
        <scheme val="minor"/>
      </rPr>
      <t>TM</t>
    </r>
    <r>
      <rPr>
        <sz val="11"/>
        <color theme="1"/>
        <rFont val="Calibri"/>
        <family val="2"/>
        <scheme val="minor"/>
      </rPr>
      <t xml:space="preserve"> 9T</t>
    </r>
  </si>
  <si>
    <r>
      <t>DEVIflex</t>
    </r>
    <r>
      <rPr>
        <vertAlign val="superscript"/>
        <sz val="9"/>
        <color theme="1"/>
        <rFont val="Calibri"/>
        <family val="2"/>
        <charset val="204"/>
        <scheme val="minor"/>
      </rPr>
      <t>TM</t>
    </r>
    <r>
      <rPr>
        <sz val="11"/>
        <color theme="1"/>
        <rFont val="Calibri"/>
        <family val="2"/>
        <scheme val="minor"/>
      </rPr>
      <t xml:space="preserve"> 20T, DEVIbasic</t>
    </r>
    <r>
      <rPr>
        <vertAlign val="superscript"/>
        <sz val="9"/>
        <color theme="1"/>
        <rFont val="Calibri"/>
        <family val="2"/>
        <charset val="204"/>
        <scheme val="minor"/>
      </rPr>
      <t>TM</t>
    </r>
    <r>
      <rPr>
        <sz val="11"/>
        <color theme="1"/>
        <rFont val="Calibri"/>
        <family val="2"/>
        <scheme val="minor"/>
      </rPr>
      <t xml:space="preserve"> 20S</t>
    </r>
  </si>
  <si>
    <r>
      <t>DEVIpipeguard</t>
    </r>
    <r>
      <rPr>
        <vertAlign val="superscript"/>
        <sz val="9"/>
        <color theme="1"/>
        <rFont val="Calibri"/>
        <family val="2"/>
        <charset val="204"/>
        <scheme val="minor"/>
      </rPr>
      <t>TM</t>
    </r>
    <r>
      <rPr>
        <sz val="11"/>
        <color theme="1"/>
        <rFont val="Calibri"/>
        <family val="2"/>
        <scheme val="minor"/>
      </rPr>
      <t xml:space="preserve"> 10, DEVIpipeheat</t>
    </r>
    <r>
      <rPr>
        <vertAlign val="superscript"/>
        <sz val="9"/>
        <color theme="1"/>
        <rFont val="Calibri"/>
        <family val="2"/>
        <charset val="204"/>
        <scheme val="minor"/>
      </rPr>
      <t>TM</t>
    </r>
    <r>
      <rPr>
        <sz val="11"/>
        <color theme="1"/>
        <rFont val="Calibri"/>
        <family val="2"/>
        <scheme val="minor"/>
      </rPr>
      <t xml:space="preserve"> 10</t>
    </r>
  </si>
  <si>
    <r>
      <t>DEVIpipeguard</t>
    </r>
    <r>
      <rPr>
        <vertAlign val="superscript"/>
        <sz val="9"/>
        <color theme="1"/>
        <rFont val="Calibri"/>
        <family val="2"/>
        <charset val="204"/>
        <scheme val="minor"/>
      </rPr>
      <t>TM</t>
    </r>
    <r>
      <rPr>
        <sz val="11"/>
        <color theme="1"/>
        <rFont val="Calibri"/>
        <family val="2"/>
        <scheme val="minor"/>
      </rPr>
      <t xml:space="preserve"> 25</t>
    </r>
  </si>
  <si>
    <r>
      <t>DEVIpipeguard</t>
    </r>
    <r>
      <rPr>
        <vertAlign val="superscript"/>
        <sz val="9"/>
        <color theme="1"/>
        <rFont val="Calibri"/>
        <family val="2"/>
        <charset val="204"/>
        <scheme val="minor"/>
      </rPr>
      <t>TM</t>
    </r>
    <r>
      <rPr>
        <sz val="11"/>
        <color theme="1"/>
        <rFont val="Calibri"/>
        <family val="2"/>
        <scheme val="minor"/>
      </rPr>
      <t xml:space="preserve"> 33</t>
    </r>
  </si>
  <si>
    <r>
      <t>DEVIhotwatt</t>
    </r>
    <r>
      <rPr>
        <vertAlign val="superscript"/>
        <sz val="9"/>
        <color theme="1"/>
        <rFont val="Calibri"/>
        <family val="2"/>
        <charset val="204"/>
        <scheme val="minor"/>
      </rPr>
      <t>TM</t>
    </r>
    <r>
      <rPr>
        <sz val="11"/>
        <color theme="1"/>
        <rFont val="Calibri"/>
        <family val="2"/>
        <scheme val="minor"/>
      </rPr>
      <t xml:space="preserve"> 45</t>
    </r>
  </si>
  <si>
    <r>
      <t>DEVIhotwatt</t>
    </r>
    <r>
      <rPr>
        <vertAlign val="superscript"/>
        <sz val="9"/>
        <color theme="1"/>
        <rFont val="Calibri"/>
        <family val="2"/>
        <charset val="204"/>
        <scheme val="minor"/>
      </rPr>
      <t>TM</t>
    </r>
    <r>
      <rPr>
        <sz val="11"/>
        <color theme="1"/>
        <rFont val="Calibri"/>
        <family val="2"/>
        <scheme val="minor"/>
      </rPr>
      <t xml:space="preserve"> 55</t>
    </r>
  </si>
  <si>
    <r>
      <t>DEVIhotwatt</t>
    </r>
    <r>
      <rPr>
        <vertAlign val="superscript"/>
        <sz val="9"/>
        <color theme="1"/>
        <rFont val="Calibri"/>
        <family val="2"/>
        <charset val="204"/>
        <scheme val="minor"/>
      </rPr>
      <t>TM</t>
    </r>
    <r>
      <rPr>
        <sz val="11"/>
        <color theme="1"/>
        <rFont val="Calibri"/>
        <family val="2"/>
        <scheme val="minor"/>
      </rPr>
      <t xml:space="preserve"> 70</t>
    </r>
  </si>
  <si>
    <r>
      <rPr>
        <b/>
        <sz val="12"/>
        <color theme="1"/>
        <rFont val="Calibri"/>
        <family val="2"/>
        <charset val="204"/>
        <scheme val="minor"/>
      </rPr>
      <t>Note.</t>
    </r>
    <r>
      <rPr>
        <sz val="12"/>
        <color theme="1"/>
        <rFont val="Calibri"/>
        <family val="2"/>
        <charset val="204"/>
        <scheme val="minor"/>
      </rPr>
      <t xml:space="preserve"> If a voltage of 220 V, use the coefficient 0,915 for cable output</t>
    </r>
  </si>
  <si>
    <t>* NPS - Nominal Pipe Size, DN - Diameter Nominal</t>
  </si>
  <si>
    <t>Outside pipe diameter**, mm</t>
  </si>
  <si>
    <t>** Approx. value for steel pipes</t>
  </si>
  <si>
    <t>Resistive cable</t>
  </si>
  <si>
    <t>Self-limiting cable</t>
  </si>
  <si>
    <t>ECpipeguard 10, EСpipeheat 10</t>
  </si>
  <si>
    <t>ECpipeguard 10</t>
  </si>
  <si>
    <t>EСpipeheat 10</t>
  </si>
  <si>
    <t>W/m (@ 10 °C)</t>
  </si>
  <si>
    <t>W/m (@ 45 °C)</t>
  </si>
  <si>
    <t>W/m (@ 55 °C)</t>
  </si>
  <si>
    <t>W/m (@ 70 °C)</t>
  </si>
  <si>
    <t>Length of pipe</t>
  </si>
  <si>
    <t>m</t>
  </si>
  <si>
    <t>Metal</t>
  </si>
  <si>
    <t>Plastic</t>
  </si>
  <si>
    <t>DEVIreg 330 (+5 ... +45°C)</t>
  </si>
  <si>
    <t>ECtemp 330 (+5 ... +45°C)</t>
  </si>
  <si>
    <t>DEVIreg 330 (-10 ... +10°C)</t>
  </si>
  <si>
    <t>ECtemp 330 (-10 ... +10°C)</t>
  </si>
  <si>
    <t>DEVIreg 610</t>
  </si>
  <si>
    <t>ECtemp 610</t>
  </si>
  <si>
    <t>recommended 1,3</t>
  </si>
  <si>
    <t>DEVIreg Therm Control (for DHW)</t>
  </si>
  <si>
    <t>DEVIreg 130</t>
  </si>
  <si>
    <t>ECtemp 130</t>
  </si>
  <si>
    <t>-</t>
  </si>
  <si>
    <t>ECflex 20T, 
ECbasic 20S</t>
  </si>
  <si>
    <t>6 W/m</t>
  </si>
  <si>
    <r>
      <t xml:space="preserve">10 W/m @ 10 </t>
    </r>
    <r>
      <rPr>
        <b/>
        <sz val="12"/>
        <color theme="1"/>
        <rFont val="Myriad Pro"/>
        <family val="2"/>
      </rPr>
      <t>°</t>
    </r>
    <r>
      <rPr>
        <b/>
        <sz val="12"/>
        <color theme="1"/>
        <rFont val="Calibri"/>
        <family val="2"/>
      </rPr>
      <t>C</t>
    </r>
  </si>
  <si>
    <t>Voltage</t>
  </si>
  <si>
    <t>V</t>
  </si>
  <si>
    <t>=1 1/4"</t>
  </si>
  <si>
    <r>
      <t>DEVIflex</t>
    </r>
    <r>
      <rPr>
        <sz val="11"/>
        <color theme="1"/>
        <rFont val="Calibri"/>
        <family val="2"/>
        <scheme val="minor"/>
      </rPr>
      <t xml:space="preserve"> 6T</t>
    </r>
  </si>
  <si>
    <r>
      <t>DEVIflex</t>
    </r>
    <r>
      <rPr>
        <sz val="11"/>
        <color theme="1"/>
        <rFont val="Calibri"/>
        <family val="2"/>
        <scheme val="minor"/>
      </rPr>
      <t xml:space="preserve"> 10T</t>
    </r>
  </si>
  <si>
    <t>DEVIbasic 10S</t>
  </si>
  <si>
    <t>DEVIcomfort 10T</t>
  </si>
  <si>
    <r>
      <t>DEVIflex</t>
    </r>
    <r>
      <rPr>
        <sz val="11"/>
        <color theme="1"/>
        <rFont val="Calibri"/>
        <family val="2"/>
        <scheme val="minor"/>
      </rPr>
      <t xml:space="preserve"> 18T</t>
    </r>
  </si>
  <si>
    <t>DEVIflex 20T</t>
  </si>
  <si>
    <r>
      <t>DEVIaqua</t>
    </r>
    <r>
      <rPr>
        <sz val="11"/>
        <color theme="1"/>
        <rFont val="Calibri"/>
        <family val="2"/>
        <scheme val="minor"/>
      </rPr>
      <t xml:space="preserve"> 9T</t>
    </r>
  </si>
  <si>
    <r>
      <t>DEVIpipeguard</t>
    </r>
    <r>
      <rPr>
        <sz val="11"/>
        <color theme="1"/>
        <rFont val="Calibri"/>
        <family val="2"/>
        <scheme val="minor"/>
      </rPr>
      <t xml:space="preserve"> 25</t>
    </r>
  </si>
  <si>
    <r>
      <t>DEVIpipeguard</t>
    </r>
    <r>
      <rPr>
        <sz val="11"/>
        <color theme="1"/>
        <rFont val="Calibri"/>
        <family val="2"/>
        <scheme val="minor"/>
      </rPr>
      <t xml:space="preserve"> 33</t>
    </r>
  </si>
  <si>
    <r>
      <t>DEVIhotwatt</t>
    </r>
    <r>
      <rPr>
        <sz val="11"/>
        <color theme="1"/>
        <rFont val="Calibri"/>
        <family val="2"/>
        <scheme val="minor"/>
      </rPr>
      <t xml:space="preserve"> 45</t>
    </r>
  </si>
  <si>
    <r>
      <t>DEVIhotwatt</t>
    </r>
    <r>
      <rPr>
        <sz val="11"/>
        <color theme="1"/>
        <rFont val="Calibri"/>
        <family val="2"/>
        <scheme val="minor"/>
      </rPr>
      <t xml:space="preserve"> 55</t>
    </r>
  </si>
  <si>
    <r>
      <t>DEVIhotwatt</t>
    </r>
    <r>
      <rPr>
        <sz val="11"/>
        <color theme="1"/>
        <rFont val="Calibri"/>
        <family val="2"/>
        <scheme val="minor"/>
      </rPr>
      <t xml:space="preserve"> 70</t>
    </r>
  </si>
  <si>
    <t>U</t>
  </si>
  <si>
    <t>Resistive heating cable</t>
  </si>
  <si>
    <t>10 W/m</t>
  </si>
  <si>
    <t>18 W/m</t>
  </si>
  <si>
    <t>20 W/m</t>
  </si>
  <si>
    <t>9 W/m</t>
  </si>
  <si>
    <t>230/400 V</t>
  </si>
  <si>
    <t>220/380 V</t>
  </si>
  <si>
    <t>240 V</t>
  </si>
  <si>
    <t>Self-limiting heating cable</t>
  </si>
  <si>
    <t>25 W/m @ 10 °C</t>
  </si>
  <si>
    <t>33 W/m @ 10 °C</t>
  </si>
  <si>
    <t>7 W/m @ 45 °C</t>
  </si>
  <si>
    <t>9 W/m @ 55 °C</t>
  </si>
  <si>
    <t>12 W/m @ 70 °C</t>
  </si>
  <si>
    <t>Heat loss of pipe, q</t>
  </si>
  <si>
    <t>Type of cable</t>
  </si>
  <si>
    <t>Single</t>
  </si>
  <si>
    <t>Twin</t>
  </si>
  <si>
    <t>Ohm/m</t>
  </si>
  <si>
    <t>Real linear resistance, r1</t>
  </si>
  <si>
    <t>Rx=0,027</t>
  </si>
  <si>
    <t>Rx=0,22</t>
  </si>
  <si>
    <t>Rx=2,5</t>
  </si>
  <si>
    <t>Twin 1 line</t>
  </si>
  <si>
    <t>Single 1 line</t>
  </si>
  <si>
    <t>Single 2 lines</t>
  </si>
  <si>
    <t>Twin 2 lines</t>
  </si>
  <si>
    <t>Resistance</t>
  </si>
  <si>
    <r>
      <t>Расчетные длины и мощности некоторых кабелей DEVImulti</t>
    </r>
    <r>
      <rPr>
        <b/>
        <vertAlign val="superscript"/>
        <sz val="9.9"/>
        <rFont val="Arial"/>
        <family val="2"/>
        <charset val="204"/>
      </rPr>
      <t>TM</t>
    </r>
    <r>
      <rPr>
        <b/>
        <sz val="11"/>
        <rFont val="Arial"/>
        <family val="2"/>
        <charset val="204"/>
      </rPr>
      <t xml:space="preserve"> для удельных мощностей - 30, 20, 15 и 10 Вт/м</t>
    </r>
  </si>
  <si>
    <r>
      <t>R</t>
    </r>
    <r>
      <rPr>
        <vertAlign val="subscript"/>
        <sz val="10"/>
        <rFont val="Arial"/>
        <family val="2"/>
        <charset val="204"/>
      </rPr>
      <t>x</t>
    </r>
    <r>
      <rPr>
        <sz val="11"/>
        <color theme="1"/>
        <rFont val="Calibri"/>
        <family val="2"/>
        <scheme val="minor"/>
      </rPr>
      <t>=</t>
    </r>
  </si>
  <si>
    <t xml:space="preserve"> V</t>
  </si>
  <si>
    <t>r, Ohm/m</t>
  </si>
  <si>
    <t>p, W/m</t>
  </si>
  <si>
    <t>L, m</t>
  </si>
  <si>
    <t>P, W</t>
  </si>
  <si>
    <t>I, A</t>
  </si>
  <si>
    <t>T</t>
  </si>
  <si>
    <t>S</t>
  </si>
  <si>
    <t>Parameters</t>
  </si>
  <si>
    <t>Coupling diagrams</t>
  </si>
  <si>
    <t>Real linear resistance, r2</t>
  </si>
  <si>
    <t>1 line</t>
  </si>
  <si>
    <t>2 lines</t>
  </si>
  <si>
    <t>Real safety factor</t>
  </si>
  <si>
    <t>Total output, P (W)</t>
  </si>
  <si>
    <t>Type of installation</t>
  </si>
  <si>
    <t>Conductor resistence, Ohm/m</t>
  </si>
  <si>
    <r>
      <t>Resistance, R</t>
    </r>
    <r>
      <rPr>
        <b/>
        <vertAlign val="subscript"/>
        <sz val="12"/>
        <color rgb="FFFF0000"/>
        <rFont val="Minion Pro"/>
        <family val="1"/>
      </rPr>
      <t>∑</t>
    </r>
    <r>
      <rPr>
        <b/>
        <sz val="12"/>
        <color rgb="FFFF0000"/>
        <rFont val="Calibri"/>
        <family val="2"/>
        <charset val="204"/>
        <scheme val="minor"/>
      </rPr>
      <t xml:space="preserve"> (Ohm/m)</t>
    </r>
  </si>
  <si>
    <t>Length of cable, L (m)</t>
  </si>
  <si>
    <r>
      <t>Resistance, R</t>
    </r>
    <r>
      <rPr>
        <b/>
        <vertAlign val="subscript"/>
        <sz val="12"/>
        <rFont val="Minion Pro"/>
        <family val="1"/>
      </rPr>
      <t>∑</t>
    </r>
    <r>
      <rPr>
        <b/>
        <sz val="12"/>
        <rFont val="Calibri"/>
        <family val="2"/>
        <charset val="204"/>
        <scheme val="minor"/>
      </rPr>
      <t xml:space="preserve"> (Ohm/m)</t>
    </r>
  </si>
  <si>
    <r>
      <t>Resistance, R</t>
    </r>
    <r>
      <rPr>
        <b/>
        <vertAlign val="subscript"/>
        <sz val="12"/>
        <color rgb="FF0070C0"/>
        <rFont val="Minion Pro"/>
        <family val="1"/>
      </rPr>
      <t>∑</t>
    </r>
    <r>
      <rPr>
        <b/>
        <sz val="12"/>
        <color rgb="FF0070C0"/>
        <rFont val="Calibri"/>
        <family val="2"/>
        <charset val="204"/>
        <scheme val="minor"/>
      </rPr>
      <t xml:space="preserve"> (Ohm/m)</t>
    </r>
  </si>
  <si>
    <t>TY</t>
  </si>
  <si>
    <t xml:space="preserve"> </t>
  </si>
  <si>
    <t>Ohm/m
tolerance, +10…-33%</t>
  </si>
  <si>
    <t>Twin, 
Y-type 3 phase</t>
  </si>
  <si>
    <r>
      <rPr>
        <b/>
        <sz val="12"/>
        <color theme="1"/>
        <rFont val="Calibri"/>
        <family val="2"/>
        <charset val="204"/>
        <scheme val="minor"/>
      </rPr>
      <t xml:space="preserve">Linear output, 
1 line instalation, p1
</t>
    </r>
    <r>
      <rPr>
        <sz val="12"/>
        <color theme="1"/>
        <rFont val="Calibri"/>
        <family val="2"/>
        <charset val="204"/>
        <scheme val="minor"/>
      </rPr>
      <t>(with safety factor)</t>
    </r>
  </si>
  <si>
    <r>
      <rPr>
        <b/>
        <sz val="12"/>
        <color theme="1"/>
        <rFont val="Calibri"/>
        <family val="2"/>
        <charset val="204"/>
        <scheme val="minor"/>
      </rPr>
      <t xml:space="preserve">Linear output,
2 lines instalation, p2
</t>
    </r>
    <r>
      <rPr>
        <sz val="12"/>
        <color theme="1"/>
        <rFont val="Calibri"/>
        <family val="2"/>
        <charset val="204"/>
        <scheme val="minor"/>
      </rPr>
      <t>(with safety factor)</t>
    </r>
  </si>
  <si>
    <t>Linear output, p (W/m)</t>
  </si>
  <si>
    <t>EH@danfoss.com</t>
  </si>
  <si>
    <t>Technical support: EH Sales &amp; Marketing Support</t>
  </si>
  <si>
    <t>Results table</t>
  </si>
  <si>
    <t>Calculation</t>
  </si>
  <si>
    <t>Calculation data</t>
  </si>
  <si>
    <r>
      <t xml:space="preserve">Coupling diagrams for 4 wire heating cable
</t>
    </r>
    <r>
      <rPr>
        <sz val="12"/>
        <color theme="1"/>
        <rFont val="Calibri"/>
        <family val="2"/>
        <scheme val="minor"/>
      </rPr>
      <t>Coupling 1-10: 1 phase / 2 phase. Coupling 11: 3 phase (Y connection type).
When designing and selecting the coupling method, ensure that the load is distributed equally between heat conductors as much as possible.
Connection to one cable side marked “T” – twin, connection to two cable sides marked “S” – single.</t>
    </r>
  </si>
  <si>
    <t>123456789</t>
  </si>
  <si>
    <r>
      <t>DEVImulti</t>
    </r>
    <r>
      <rPr>
        <b/>
        <vertAlign val="superscript"/>
        <sz val="18"/>
        <color theme="1"/>
        <rFont val="Calibri"/>
        <family val="2"/>
        <scheme val="minor"/>
      </rPr>
      <t>TM</t>
    </r>
    <r>
      <rPr>
        <b/>
        <sz val="22"/>
        <color theme="1"/>
        <rFont val="Calibri"/>
        <family val="2"/>
        <scheme val="minor"/>
      </rPr>
      <t xml:space="preserve"> PVC / DEVImulti</t>
    </r>
    <r>
      <rPr>
        <b/>
        <vertAlign val="superscript"/>
        <sz val="18"/>
        <color theme="1"/>
        <rFont val="Calibri"/>
        <family val="2"/>
        <scheme val="minor"/>
      </rPr>
      <t>TM</t>
    </r>
    <r>
      <rPr>
        <b/>
        <sz val="22"/>
        <color theme="1"/>
        <rFont val="Calibri"/>
        <family val="2"/>
        <scheme val="minor"/>
      </rPr>
      <t xml:space="preserve"> HDPE</t>
    </r>
  </si>
  <si>
    <t>On plastic pipe under insulation, max. 10 W/m</t>
  </si>
  <si>
    <t>In water pipe (enclosed by water), max. 30 W/m</t>
  </si>
  <si>
    <t>On metal pipe under insulation, max. 20 W/m</t>
  </si>
  <si>
    <t>In a drain pipe, max. 15 W/m</t>
  </si>
  <si>
    <t>In concrete, max. 30 W/m</t>
  </si>
  <si>
    <t>DEVImulti_PVC</t>
  </si>
  <si>
    <t>DEVImulti_HDPE</t>
  </si>
  <si>
    <t>In concrete or without direct air contact, max. 30 W/m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</si>
</sst>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000"/>
    <numFmt numFmtId="166" formatCode="0.000"/>
    <numFmt numFmtId="167" formatCode="#,##0.000"/>
    <numFmt numFmtId="168" formatCode="0.0%"/>
    <numFmt numFmtId="169" formatCode="#,##0.0000"/>
  </numFmts>
  <fonts count="45" x14ac:knownFonts="1">
    <font>
      <sz val="11"/>
      <color theme="1"/>
      <name val="Calibri"/>
      <family val="2"/>
      <scheme val="minor"/>
    </font>
    <font>
      <sz val="11"/>
      <color theme="1"/>
      <name val="Calibri"/>
      <family val="2"/>
      <charset val="204"/>
      <scheme val="minor"/>
    </font>
    <font>
      <sz val="12"/>
      <color theme="1"/>
      <name val="Calibri"/>
      <family val="2"/>
      <scheme val="minor"/>
    </font>
    <font>
      <b/>
      <sz val="12"/>
      <color theme="1"/>
      <name val="Calibri"/>
      <family val="2"/>
      <charset val="204"/>
      <scheme val="minor"/>
    </font>
    <font>
      <sz val="11"/>
      <color theme="0"/>
      <name val="Calibri"/>
      <family val="2"/>
      <scheme val="minor"/>
    </font>
    <font>
      <b/>
      <sz val="14"/>
      <color theme="1"/>
      <name val="Calibri"/>
      <family val="2"/>
      <charset val="204"/>
      <scheme val="minor"/>
    </font>
    <font>
      <sz val="12"/>
      <color theme="1"/>
      <name val="Calibri"/>
      <family val="2"/>
      <charset val="204"/>
      <scheme val="minor"/>
    </font>
    <font>
      <b/>
      <sz val="12"/>
      <color theme="1"/>
      <name val="Calibri"/>
      <family val="2"/>
      <scheme val="minor"/>
    </font>
    <font>
      <b/>
      <sz val="12"/>
      <color theme="1"/>
      <name val="Myriad Pro"/>
      <family val="2"/>
    </font>
    <font>
      <b/>
      <sz val="12"/>
      <color theme="1"/>
      <name val="Calibri"/>
      <family val="2"/>
    </font>
    <font>
      <vertAlign val="superscript"/>
      <sz val="9"/>
      <color theme="1"/>
      <name val="Calibri"/>
      <family val="2"/>
      <charset val="204"/>
      <scheme val="minor"/>
    </font>
    <font>
      <b/>
      <sz val="20"/>
      <color theme="1"/>
      <name val="Calibri"/>
      <family val="2"/>
      <charset val="204"/>
      <scheme val="minor"/>
    </font>
    <font>
      <b/>
      <sz val="11"/>
      <color theme="1"/>
      <name val="Calibri"/>
      <family val="2"/>
      <charset val="204"/>
      <scheme val="minor"/>
    </font>
    <font>
      <b/>
      <sz val="14"/>
      <color theme="1"/>
      <name val="Calibri"/>
      <family val="2"/>
      <scheme val="minor"/>
    </font>
    <font>
      <b/>
      <sz val="12"/>
      <color rgb="FFFF0000"/>
      <name val="Calibri"/>
      <family val="2"/>
      <charset val="204"/>
      <scheme val="minor"/>
    </font>
    <font>
      <sz val="12"/>
      <color rgb="FFFF0000"/>
      <name val="Calibri"/>
      <family val="2"/>
      <scheme val="minor"/>
    </font>
    <font>
      <b/>
      <sz val="12"/>
      <color rgb="FF0070C0"/>
      <name val="Calibri"/>
      <family val="2"/>
      <charset val="204"/>
      <scheme val="minor"/>
    </font>
    <font>
      <b/>
      <sz val="11"/>
      <name val="Arial"/>
      <family val="2"/>
      <charset val="204"/>
    </font>
    <font>
      <sz val="10"/>
      <name val="Arial"/>
      <family val="2"/>
      <charset val="204"/>
    </font>
    <font>
      <sz val="10"/>
      <color rgb="FFFF0000"/>
      <name val="Arial"/>
      <family val="2"/>
      <charset val="204"/>
    </font>
    <font>
      <b/>
      <sz val="10"/>
      <color indexed="10"/>
      <name val="Arial"/>
      <family val="2"/>
    </font>
    <font>
      <b/>
      <vertAlign val="superscript"/>
      <sz val="9.9"/>
      <name val="Arial"/>
      <family val="2"/>
      <charset val="204"/>
    </font>
    <font>
      <vertAlign val="subscript"/>
      <sz val="10"/>
      <name val="Arial"/>
      <family val="2"/>
      <charset val="204"/>
    </font>
    <font>
      <b/>
      <sz val="10"/>
      <name val="Arial"/>
      <family val="2"/>
      <charset val="204"/>
    </font>
    <font>
      <b/>
      <sz val="10"/>
      <name val="Arial"/>
      <family val="2"/>
    </font>
    <font>
      <sz val="10"/>
      <color indexed="8"/>
      <name val="Arial"/>
      <family val="2"/>
      <charset val="204"/>
    </font>
    <font>
      <b/>
      <sz val="12"/>
      <name val="Calibri"/>
      <family val="2"/>
      <scheme val="minor"/>
    </font>
    <font>
      <b/>
      <sz val="11"/>
      <color theme="1"/>
      <name val="Calibri"/>
      <family val="2"/>
      <scheme val="minor"/>
    </font>
    <font>
      <b/>
      <sz val="12"/>
      <name val="Calibri"/>
      <family val="2"/>
      <charset val="204"/>
      <scheme val="minor"/>
    </font>
    <font>
      <b/>
      <vertAlign val="subscript"/>
      <sz val="12"/>
      <color rgb="FFFF0000"/>
      <name val="Minion Pro"/>
      <family val="1"/>
    </font>
    <font>
      <b/>
      <vertAlign val="subscript"/>
      <sz val="12"/>
      <name val="Minion Pro"/>
      <family val="1"/>
    </font>
    <font>
      <b/>
      <vertAlign val="subscript"/>
      <sz val="12"/>
      <color rgb="FF0070C0"/>
      <name val="Minion Pro"/>
      <family val="1"/>
    </font>
    <font>
      <sz val="10"/>
      <color theme="1"/>
      <name val="Calibri"/>
      <family val="2"/>
      <scheme val="minor"/>
    </font>
    <font>
      <b/>
      <sz val="16"/>
      <color rgb="FFFF0000"/>
      <name val="Calibri"/>
      <family val="2"/>
      <charset val="204"/>
      <scheme val="minor"/>
    </font>
    <font>
      <b/>
      <sz val="16"/>
      <color rgb="FF0070C0"/>
      <name val="Calibri"/>
      <family val="2"/>
      <charset val="204"/>
      <scheme val="minor"/>
    </font>
    <font>
      <b/>
      <sz val="16"/>
      <color theme="1"/>
      <name val="Calibri"/>
      <family val="2"/>
      <charset val="204"/>
      <scheme val="minor"/>
    </font>
    <font>
      <u/>
      <sz val="11"/>
      <color theme="10"/>
      <name val="Calibri"/>
      <family val="2"/>
      <scheme val="minor"/>
    </font>
    <font>
      <u/>
      <sz val="12"/>
      <color theme="10"/>
      <name val="Calibri"/>
      <family val="2"/>
      <scheme val="minor"/>
    </font>
    <font>
      <sz val="14"/>
      <color theme="1"/>
      <name val="Calibri"/>
      <family val="2"/>
      <scheme val="minor"/>
    </font>
    <font>
      <b/>
      <sz val="18"/>
      <color theme="1"/>
      <name val="Calibri"/>
      <family val="2"/>
      <scheme val="minor"/>
    </font>
    <font>
      <b/>
      <sz val="22"/>
      <color theme="1"/>
      <name val="Calibri"/>
      <family val="2"/>
      <scheme val="minor"/>
    </font>
    <font>
      <b/>
      <vertAlign val="superscript"/>
      <sz val="18"/>
      <color theme="1"/>
      <name val="Calibri"/>
      <family val="2"/>
      <scheme val="minor"/>
    </font>
    <font>
      <b/>
      <sz val="9"/>
      <color indexed="81"/>
      <name val="Tahoma"/>
      <charset val="1"/>
    </font>
    <font>
      <sz val="8"/>
      <color theme="0"/>
      <name val="Calibri"/>
      <family val="2"/>
      <scheme val="minor"/>
    </font>
    <font>
      <sz val="8"/>
      <color theme="0" tint="-0.249977111117893"/>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rgb="FFCCCCFF"/>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diagonal/>
    </border>
  </borders>
  <cellStyleXfs count="2">
    <xf numFmtId="0" fontId="0" fillId="0" borderId="0"/>
    <xf numFmtId="0" fontId="36" fillId="0" borderId="0" applyNumberFormat="0" applyFill="0" applyBorder="0" applyAlignment="0" applyProtection="0"/>
  </cellStyleXfs>
  <cellXfs count="289">
    <xf numFmtId="0" fontId="0" fillId="0" borderId="0" xfId="0"/>
    <xf numFmtId="0" fontId="2" fillId="0" borderId="1" xfId="0" applyFont="1" applyBorder="1" applyAlignment="1">
      <alignment horizontal="center" vertical="center"/>
    </xf>
    <xf numFmtId="0" fontId="0" fillId="0" borderId="0"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7" xfId="0" applyBorder="1"/>
    <xf numFmtId="0" fontId="3" fillId="0" borderId="1" xfId="0" applyFont="1" applyBorder="1" applyAlignment="1">
      <alignment horizontal="center" vertical="center" wrapText="1"/>
    </xf>
    <xf numFmtId="0" fontId="0" fillId="0" borderId="16" xfId="0" applyBorder="1"/>
    <xf numFmtId="0" fontId="3" fillId="0" borderId="0" xfId="0" applyFont="1" applyBorder="1" applyAlignment="1"/>
    <xf numFmtId="0" fontId="0" fillId="0" borderId="1" xfId="0" applyFont="1" applyBorder="1" applyAlignment="1">
      <alignment horizontal="center" vertical="center"/>
    </xf>
    <xf numFmtId="0" fontId="0" fillId="0" borderId="1" xfId="0" applyFont="1" applyBorder="1" applyAlignment="1">
      <alignment horizontal="left" vertical="center"/>
    </xf>
    <xf numFmtId="0" fontId="0" fillId="0" borderId="1" xfId="0" applyFont="1" applyBorder="1" applyAlignment="1">
      <alignment horizontal="left" vertical="center" wrapText="1"/>
    </xf>
    <xf numFmtId="0" fontId="7" fillId="0" borderId="1" xfId="0" applyFont="1" applyBorder="1" applyAlignment="1">
      <alignment horizontal="center" vertical="center"/>
    </xf>
    <xf numFmtId="0" fontId="0" fillId="0" borderId="17" xfId="0" applyBorder="1"/>
    <xf numFmtId="0" fontId="3" fillId="0" borderId="1" xfId="0" applyFont="1" applyBorder="1" applyAlignment="1">
      <alignment horizontal="center" vertical="center"/>
    </xf>
    <xf numFmtId="0" fontId="0" fillId="0" borderId="0" xfId="0" applyAlignment="1">
      <alignment horizontal="center"/>
    </xf>
    <xf numFmtId="0" fontId="6" fillId="0" borderId="0" xfId="0" applyFont="1" applyBorder="1" applyAlignment="1">
      <alignment vertical="center"/>
    </xf>
    <xf numFmtId="0" fontId="3" fillId="0" borderId="19" xfId="0" applyFont="1" applyBorder="1" applyAlignment="1">
      <alignment horizontal="center" vertical="center"/>
    </xf>
    <xf numFmtId="0" fontId="0" fillId="0" borderId="13" xfId="0" applyBorder="1" applyAlignment="1">
      <alignment horizontal="center"/>
    </xf>
    <xf numFmtId="0" fontId="6" fillId="0" borderId="0" xfId="0" applyFont="1" applyBorder="1" applyAlignment="1">
      <alignment horizontal="left" vertical="center"/>
    </xf>
    <xf numFmtId="0" fontId="0" fillId="0" borderId="1" xfId="0" applyBorder="1" applyAlignment="1">
      <alignment horizontal="left"/>
    </xf>
    <xf numFmtId="0" fontId="0" fillId="0" borderId="1" xfId="0" applyBorder="1"/>
    <xf numFmtId="0" fontId="0" fillId="0" borderId="1" xfId="0" applyFont="1" applyBorder="1" applyAlignment="1">
      <alignment horizontal="center" vertical="center" wrapText="1"/>
    </xf>
    <xf numFmtId="0" fontId="0" fillId="0" borderId="19" xfId="0" applyFont="1" applyBorder="1" applyAlignment="1">
      <alignment horizontal="center" vertical="center" wrapText="1"/>
    </xf>
    <xf numFmtId="0" fontId="2" fillId="0" borderId="1" xfId="0" applyNumberFormat="1" applyFont="1" applyBorder="1" applyAlignment="1">
      <alignment horizontal="center" vertical="center"/>
    </xf>
    <xf numFmtId="0" fontId="0" fillId="0" borderId="0" xfId="0" applyAlignment="1">
      <alignment horizontal="center" vertical="center"/>
    </xf>
    <xf numFmtId="0" fontId="1" fillId="0" borderId="0" xfId="0" applyFont="1" applyFill="1" applyBorder="1" applyAlignment="1">
      <alignment horizontal="center" vertical="center"/>
    </xf>
    <xf numFmtId="0" fontId="7" fillId="0" borderId="1" xfId="0" applyFont="1" applyFill="1" applyBorder="1" applyAlignment="1">
      <alignment horizontal="center" vertical="center"/>
    </xf>
    <xf numFmtId="164" fontId="0" fillId="0" borderId="0" xfId="0" applyNumberFormat="1"/>
    <xf numFmtId="0" fontId="17" fillId="0" borderId="0" xfId="0" applyFont="1"/>
    <xf numFmtId="0" fontId="18" fillId="0" borderId="0" xfId="0" applyFont="1"/>
    <xf numFmtId="0" fontId="19" fillId="0" borderId="0" xfId="0" applyFont="1"/>
    <xf numFmtId="0" fontId="20" fillId="0" borderId="0" xfId="0" applyFont="1" applyAlignment="1">
      <alignment horizontal="center"/>
    </xf>
    <xf numFmtId="0" fontId="18" fillId="0" borderId="0" xfId="0" applyFont="1" applyAlignment="1">
      <alignment horizontal="right"/>
    </xf>
    <xf numFmtId="0" fontId="0" fillId="5" borderId="9" xfId="0" applyFill="1" applyBorder="1"/>
    <xf numFmtId="0" fontId="24" fillId="5" borderId="9" xfId="0" applyFont="1" applyFill="1" applyBorder="1" applyAlignment="1">
      <alignment horizontal="center"/>
    </xf>
    <xf numFmtId="0" fontId="0" fillId="5" borderId="10" xfId="0" applyFill="1" applyBorder="1"/>
    <xf numFmtId="0" fontId="0" fillId="5" borderId="8" xfId="0" applyFill="1" applyBorder="1"/>
    <xf numFmtId="0" fontId="24" fillId="5" borderId="6" xfId="0" applyFont="1" applyFill="1" applyBorder="1" applyAlignment="1">
      <alignment horizontal="left"/>
    </xf>
    <xf numFmtId="0" fontId="24" fillId="5" borderId="7" xfId="0" applyFont="1" applyFill="1" applyBorder="1" applyAlignment="1">
      <alignment horizontal="center"/>
    </xf>
    <xf numFmtId="0" fontId="24" fillId="0" borderId="0" xfId="0" applyFont="1" applyBorder="1" applyAlignment="1">
      <alignment horizontal="center"/>
    </xf>
    <xf numFmtId="0" fontId="23" fillId="5" borderId="5" xfId="0" applyFont="1" applyFill="1" applyBorder="1" applyAlignment="1">
      <alignment horizontal="center" wrapText="1"/>
    </xf>
    <xf numFmtId="0" fontId="24" fillId="5" borderId="2" xfId="0" applyFont="1" applyFill="1" applyBorder="1" applyAlignment="1">
      <alignment horizontal="center" wrapText="1"/>
    </xf>
    <xf numFmtId="0" fontId="24" fillId="5" borderId="22" xfId="0" applyFont="1" applyFill="1" applyBorder="1" applyAlignment="1">
      <alignment horizontal="center" wrapText="1"/>
    </xf>
    <xf numFmtId="0" fontId="25" fillId="0" borderId="0" xfId="0" applyFont="1" applyAlignment="1">
      <alignment vertical="top" wrapText="1"/>
    </xf>
    <xf numFmtId="0" fontId="0" fillId="0" borderId="8" xfId="0" applyBorder="1" applyAlignment="1">
      <alignment horizontal="center"/>
    </xf>
    <xf numFmtId="1" fontId="0" fillId="0" borderId="9" xfId="0" applyNumberFormat="1" applyBorder="1" applyAlignment="1">
      <alignment horizontal="center"/>
    </xf>
    <xf numFmtId="1" fontId="0" fillId="0" borderId="10" xfId="0" applyNumberFormat="1" applyBorder="1" applyAlignment="1">
      <alignment horizontal="center"/>
    </xf>
    <xf numFmtId="1" fontId="0" fillId="0" borderId="0" xfId="0" applyNumberFormat="1" applyBorder="1" applyAlignment="1">
      <alignment horizontal="center"/>
    </xf>
    <xf numFmtId="0" fontId="0" fillId="0" borderId="11" xfId="0" applyBorder="1" applyAlignment="1">
      <alignment horizontal="center"/>
    </xf>
    <xf numFmtId="1" fontId="0" fillId="0" borderId="12" xfId="0" applyNumberFormat="1" applyBorder="1" applyAlignment="1">
      <alignment horizontal="center"/>
    </xf>
    <xf numFmtId="0" fontId="18" fillId="5" borderId="11" xfId="0" applyFont="1" applyFill="1" applyBorder="1" applyAlignment="1">
      <alignment horizontal="center"/>
    </xf>
    <xf numFmtId="1" fontId="18" fillId="5" borderId="0" xfId="0" applyNumberFormat="1" applyFont="1" applyFill="1" applyBorder="1" applyAlignment="1">
      <alignment horizontal="center"/>
    </xf>
    <xf numFmtId="1" fontId="18" fillId="5" borderId="12" xfId="0" applyNumberFormat="1" applyFont="1" applyFill="1" applyBorder="1" applyAlignment="1">
      <alignment horizontal="center"/>
    </xf>
    <xf numFmtId="0" fontId="18" fillId="5" borderId="5" xfId="0" applyFont="1" applyFill="1" applyBorder="1" applyAlignment="1">
      <alignment horizontal="center"/>
    </xf>
    <xf numFmtId="1" fontId="18" fillId="5" borderId="6" xfId="0" applyNumberFormat="1" applyFont="1" applyFill="1" applyBorder="1" applyAlignment="1">
      <alignment horizontal="center"/>
    </xf>
    <xf numFmtId="1" fontId="18" fillId="5" borderId="7" xfId="0" applyNumberFormat="1" applyFont="1" applyFill="1" applyBorder="1" applyAlignment="1">
      <alignment horizontal="center"/>
    </xf>
    <xf numFmtId="1" fontId="0" fillId="5" borderId="0" xfId="0" applyNumberFormat="1" applyFill="1" applyBorder="1" applyAlignment="1">
      <alignment horizontal="center"/>
    </xf>
    <xf numFmtId="1" fontId="0" fillId="5" borderId="12" xfId="0" applyNumberFormat="1" applyFill="1" applyBorder="1" applyAlignment="1">
      <alignment horizontal="center"/>
    </xf>
    <xf numFmtId="1" fontId="0" fillId="5" borderId="6" xfId="0" applyNumberFormat="1" applyFill="1" applyBorder="1" applyAlignment="1">
      <alignment horizontal="center"/>
    </xf>
    <xf numFmtId="1" fontId="0" fillId="5" borderId="7" xfId="0" applyNumberFormat="1" applyFill="1" applyBorder="1" applyAlignment="1">
      <alignment horizontal="center"/>
    </xf>
    <xf numFmtId="0" fontId="19" fillId="0" borderId="11" xfId="0" applyFont="1" applyBorder="1" applyAlignment="1">
      <alignment horizontal="center"/>
    </xf>
    <xf numFmtId="1" fontId="19" fillId="0" borderId="0" xfId="0" applyNumberFormat="1" applyFont="1" applyBorder="1" applyAlignment="1">
      <alignment horizontal="center"/>
    </xf>
    <xf numFmtId="0" fontId="19" fillId="5" borderId="11" xfId="0" applyFont="1" applyFill="1" applyBorder="1" applyAlignment="1">
      <alignment horizontal="center"/>
    </xf>
    <xf numFmtId="1" fontId="19" fillId="5" borderId="0" xfId="0" applyNumberFormat="1" applyFont="1" applyFill="1" applyBorder="1" applyAlignment="1">
      <alignment horizontal="center"/>
    </xf>
    <xf numFmtId="0" fontId="19" fillId="5" borderId="5" xfId="0" applyFont="1" applyFill="1" applyBorder="1" applyAlignment="1">
      <alignment horizontal="center"/>
    </xf>
    <xf numFmtId="1" fontId="19" fillId="5" borderId="6" xfId="0" applyNumberFormat="1" applyFont="1" applyFill="1" applyBorder="1" applyAlignment="1">
      <alignment horizontal="center"/>
    </xf>
    <xf numFmtId="0" fontId="19" fillId="0" borderId="8" xfId="0" applyFont="1" applyBorder="1" applyAlignment="1">
      <alignment horizontal="center"/>
    </xf>
    <xf numFmtId="0" fontId="0" fillId="0" borderId="6" xfId="0" applyBorder="1"/>
    <xf numFmtId="0" fontId="0" fillId="7" borderId="0" xfId="0" applyFill="1" applyBorder="1"/>
    <xf numFmtId="0" fontId="27" fillId="0" borderId="1" xfId="0" applyFont="1" applyBorder="1" applyAlignment="1">
      <alignment horizontal="center"/>
    </xf>
    <xf numFmtId="0" fontId="0" fillId="2" borderId="0" xfId="0" applyFill="1" applyBorder="1"/>
    <xf numFmtId="166" fontId="0" fillId="0" borderId="0" xfId="0" applyNumberFormat="1" applyBorder="1"/>
    <xf numFmtId="166" fontId="0" fillId="6" borderId="0" xfId="0" applyNumberFormat="1" applyFill="1" applyBorder="1"/>
    <xf numFmtId="168" fontId="0" fillId="0" borderId="0" xfId="0" applyNumberFormat="1" applyBorder="1"/>
    <xf numFmtId="0" fontId="27" fillId="0" borderId="0" xfId="0" applyFont="1" applyBorder="1" applyAlignment="1">
      <alignment horizontal="center"/>
    </xf>
    <xf numFmtId="4" fontId="0" fillId="0" borderId="0" xfId="0" applyNumberFormat="1" applyBorder="1"/>
    <xf numFmtId="166" fontId="0" fillId="0" borderId="11" xfId="0" applyNumberFormat="1" applyBorder="1"/>
    <xf numFmtId="168" fontId="0" fillId="0" borderId="12" xfId="0" applyNumberFormat="1" applyBorder="1"/>
    <xf numFmtId="166" fontId="0" fillId="0" borderId="5" xfId="0" applyNumberFormat="1" applyBorder="1"/>
    <xf numFmtId="0" fontId="27" fillId="0" borderId="6" xfId="0" applyFont="1" applyBorder="1" applyAlignment="1">
      <alignment horizontal="center"/>
    </xf>
    <xf numFmtId="4" fontId="0" fillId="0" borderId="6" xfId="0" applyNumberFormat="1" applyBorder="1"/>
    <xf numFmtId="166" fontId="0" fillId="0" borderId="6" xfId="0" applyNumberFormat="1" applyBorder="1"/>
    <xf numFmtId="0" fontId="27" fillId="0" borderId="24" xfId="0" applyFont="1" applyBorder="1" applyAlignment="1">
      <alignment horizontal="center"/>
    </xf>
    <xf numFmtId="0" fontId="0" fillId="2" borderId="9" xfId="0" applyFill="1" applyBorder="1"/>
    <xf numFmtId="0" fontId="27" fillId="0" borderId="0" xfId="0" applyFont="1" applyBorder="1"/>
    <xf numFmtId="169" fontId="0" fillId="0" borderId="0" xfId="0" applyNumberFormat="1" applyFill="1" applyBorder="1"/>
    <xf numFmtId="4" fontId="0" fillId="2" borderId="0" xfId="0" applyNumberFormat="1" applyFill="1" applyBorder="1"/>
    <xf numFmtId="2" fontId="0" fillId="0" borderId="12" xfId="0" applyNumberFormat="1" applyBorder="1"/>
    <xf numFmtId="0" fontId="27" fillId="0" borderId="0" xfId="0" applyFont="1" applyBorder="1" applyAlignment="1">
      <alignment horizontal="center" vertical="center"/>
    </xf>
    <xf numFmtId="2" fontId="0" fillId="0" borderId="6" xfId="0" applyNumberFormat="1" applyBorder="1"/>
    <xf numFmtId="9" fontId="27" fillId="0" borderId="11" xfId="0" applyNumberFormat="1" applyFont="1" applyBorder="1" applyAlignment="1">
      <alignment horizontal="center"/>
    </xf>
    <xf numFmtId="0" fontId="27" fillId="0" borderId="12" xfId="0" applyFont="1" applyBorder="1" applyAlignment="1">
      <alignment horizontal="center"/>
    </xf>
    <xf numFmtId="0" fontId="0" fillId="0" borderId="5" xfId="0" applyBorder="1"/>
    <xf numFmtId="0" fontId="27" fillId="2" borderId="0" xfId="0" applyFont="1" applyFill="1" applyBorder="1" applyAlignment="1">
      <alignment horizontal="center"/>
    </xf>
    <xf numFmtId="10" fontId="0" fillId="0" borderId="12" xfId="0" applyNumberFormat="1" applyBorder="1"/>
    <xf numFmtId="165" fontId="27" fillId="0" borderId="6" xfId="0" applyNumberFormat="1" applyFont="1" applyBorder="1" applyAlignment="1">
      <alignment horizontal="center"/>
    </xf>
    <xf numFmtId="165" fontId="0" fillId="0" borderId="0" xfId="0" applyNumberFormat="1"/>
    <xf numFmtId="0" fontId="0" fillId="2" borderId="0" xfId="0" applyFill="1"/>
    <xf numFmtId="0" fontId="0" fillId="0" borderId="9" xfId="0" applyFill="1" applyBorder="1" applyAlignment="1" applyProtection="1">
      <protection hidden="1"/>
    </xf>
    <xf numFmtId="0" fontId="0" fillId="0" borderId="0" xfId="0" applyFill="1" applyBorder="1" applyAlignment="1" applyProtection="1">
      <protection hidden="1"/>
    </xf>
    <xf numFmtId="0" fontId="0" fillId="0" borderId="0" xfId="0" applyProtection="1">
      <protection hidden="1"/>
    </xf>
    <xf numFmtId="0" fontId="4" fillId="0" borderId="0" xfId="0" applyFont="1" applyProtection="1">
      <protection hidden="1"/>
    </xf>
    <xf numFmtId="0" fontId="11" fillId="0" borderId="0" xfId="0" applyFont="1" applyFill="1" applyBorder="1" applyAlignment="1" applyProtection="1">
      <alignment vertical="center"/>
      <protection hidden="1"/>
    </xf>
    <xf numFmtId="0" fontId="0" fillId="0" borderId="0" xfId="0" applyBorder="1" applyProtection="1">
      <protection hidden="1"/>
    </xf>
    <xf numFmtId="0" fontId="0" fillId="0" borderId="11" xfId="0" applyBorder="1" applyProtection="1">
      <protection hidden="1"/>
    </xf>
    <xf numFmtId="0" fontId="0" fillId="0" borderId="12" xfId="0" applyFont="1" applyFill="1" applyBorder="1" applyAlignment="1" applyProtection="1">
      <alignment vertical="center" wrapText="1"/>
      <protection hidden="1"/>
    </xf>
    <xf numFmtId="0" fontId="3" fillId="0" borderId="0" xfId="0" applyFont="1" applyFill="1" applyBorder="1" applyAlignment="1" applyProtection="1">
      <alignment vertical="center" wrapText="1"/>
      <protection hidden="1"/>
    </xf>
    <xf numFmtId="0" fontId="13" fillId="0" borderId="22" xfId="0" applyFont="1" applyBorder="1" applyAlignment="1" applyProtection="1">
      <alignment horizontal="center" vertical="center" wrapText="1"/>
      <protection hidden="1"/>
    </xf>
    <xf numFmtId="0" fontId="5" fillId="0" borderId="22" xfId="0" applyFont="1" applyBorder="1" applyAlignment="1" applyProtection="1">
      <alignment horizontal="center" vertical="center" wrapText="1"/>
      <protection hidden="1"/>
    </xf>
    <xf numFmtId="0" fontId="13" fillId="0" borderId="22" xfId="0" applyFont="1" applyBorder="1" applyAlignment="1" applyProtection="1">
      <alignment horizontal="center" vertical="top" wrapText="1"/>
      <protection hidden="1"/>
    </xf>
    <xf numFmtId="0" fontId="13" fillId="0" borderId="22" xfId="0" applyFont="1" applyBorder="1" applyAlignment="1" applyProtection="1">
      <alignment horizontal="center" vertical="top"/>
      <protection hidden="1"/>
    </xf>
    <xf numFmtId="4" fontId="0" fillId="0" borderId="0" xfId="0" applyNumberFormat="1" applyProtection="1">
      <protection hidden="1"/>
    </xf>
    <xf numFmtId="0" fontId="2" fillId="0" borderId="0" xfId="0" applyFont="1" applyFill="1" applyBorder="1" applyAlignment="1" applyProtection="1">
      <alignment horizontal="center" vertical="center" wrapText="1"/>
      <protection hidden="1"/>
    </xf>
    <xf numFmtId="0" fontId="3" fillId="0" borderId="0" xfId="0" applyFont="1" applyBorder="1" applyAlignment="1" applyProtection="1">
      <alignment vertical="center"/>
      <protection hidden="1"/>
    </xf>
    <xf numFmtId="0" fontId="14" fillId="0" borderId="25" xfId="0" applyFont="1" applyBorder="1" applyAlignment="1" applyProtection="1">
      <alignment horizontal="left" vertical="center" wrapText="1"/>
      <protection hidden="1"/>
    </xf>
    <xf numFmtId="0" fontId="26" fillId="0" borderId="28" xfId="0" applyFont="1" applyBorder="1" applyAlignment="1" applyProtection="1">
      <alignment horizontal="center" vertical="center"/>
      <protection hidden="1"/>
    </xf>
    <xf numFmtId="0" fontId="26" fillId="0" borderId="28" xfId="0" applyFont="1" applyFill="1" applyBorder="1" applyAlignment="1" applyProtection="1">
      <alignment horizontal="center" vertical="center" wrapText="1"/>
      <protection hidden="1"/>
    </xf>
    <xf numFmtId="0" fontId="26" fillId="0" borderId="28" xfId="0" applyFont="1" applyFill="1" applyBorder="1" applyAlignment="1" applyProtection="1">
      <alignment horizontal="center" vertical="center"/>
      <protection hidden="1"/>
    </xf>
    <xf numFmtId="0" fontId="26" fillId="0" borderId="10" xfId="0" applyFont="1" applyFill="1" applyBorder="1" applyAlignment="1" applyProtection="1">
      <alignment horizontal="center" vertical="center"/>
      <protection hidden="1"/>
    </xf>
    <xf numFmtId="166" fontId="0" fillId="0" borderId="0" xfId="0" applyNumberFormat="1" applyProtection="1">
      <protection hidden="1"/>
    </xf>
    <xf numFmtId="0" fontId="3" fillId="0" borderId="12" xfId="0" applyFont="1" applyFill="1" applyBorder="1" applyAlignment="1" applyProtection="1">
      <alignment vertical="center" wrapText="1"/>
      <protection hidden="1"/>
    </xf>
    <xf numFmtId="0" fontId="3" fillId="0" borderId="0" xfId="0" applyFont="1" applyBorder="1" applyAlignment="1" applyProtection="1">
      <alignment vertical="center" wrapText="1"/>
      <protection hidden="1"/>
    </xf>
    <xf numFmtId="0" fontId="14" fillId="0" borderId="26" xfId="0" applyFont="1" applyBorder="1" applyAlignment="1" applyProtection="1">
      <alignment horizontal="left" vertical="center" wrapText="1"/>
      <protection hidden="1"/>
    </xf>
    <xf numFmtId="2" fontId="26" fillId="0" borderId="29" xfId="0" applyNumberFormat="1" applyFont="1" applyBorder="1" applyAlignment="1" applyProtection="1">
      <alignment horizontal="center" vertical="center"/>
      <protection hidden="1"/>
    </xf>
    <xf numFmtId="2" fontId="26" fillId="0" borderId="33" xfId="0" applyNumberFormat="1" applyFont="1" applyBorder="1" applyAlignment="1" applyProtection="1">
      <alignment horizontal="center" vertical="center"/>
      <protection hidden="1"/>
    </xf>
    <xf numFmtId="0" fontId="6" fillId="0" borderId="1" xfId="0" applyFont="1" applyFill="1" applyBorder="1" applyAlignment="1" applyProtection="1">
      <alignment horizontal="left" vertical="center" wrapText="1"/>
      <protection hidden="1"/>
    </xf>
    <xf numFmtId="0" fontId="6" fillId="0" borderId="1" xfId="0" applyFont="1" applyFill="1" applyBorder="1" applyAlignment="1" applyProtection="1">
      <alignment horizontal="center" vertical="center" wrapText="1"/>
      <protection hidden="1"/>
    </xf>
    <xf numFmtId="0" fontId="26" fillId="0" borderId="29" xfId="0" applyFont="1" applyBorder="1" applyAlignment="1" applyProtection="1">
      <alignment horizontal="center" vertical="center"/>
      <protection hidden="1"/>
    </xf>
    <xf numFmtId="0" fontId="26" fillId="0" borderId="29" xfId="0" applyNumberFormat="1" applyFont="1" applyFill="1" applyBorder="1" applyAlignment="1" applyProtection="1">
      <alignment horizontal="center" vertical="center"/>
      <protection hidden="1"/>
    </xf>
    <xf numFmtId="0" fontId="26" fillId="0" borderId="33" xfId="0" applyFont="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5" fillId="0" borderId="0" xfId="0" applyFont="1" applyBorder="1" applyAlignment="1" applyProtection="1">
      <alignment horizontal="center"/>
      <protection hidden="1"/>
    </xf>
    <xf numFmtId="167" fontId="0" fillId="0" borderId="0" xfId="0" applyNumberFormat="1" applyProtection="1">
      <protection hidden="1"/>
    </xf>
    <xf numFmtId="0" fontId="6" fillId="0" borderId="1" xfId="0" applyFont="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0" fillId="0" borderId="12" xfId="0" applyBorder="1" applyProtection="1">
      <protection hidden="1"/>
    </xf>
    <xf numFmtId="0" fontId="3" fillId="0" borderId="0" xfId="0" applyFont="1" applyBorder="1" applyAlignment="1" applyProtection="1">
      <alignment horizontal="center" vertical="center" wrapText="1"/>
      <protection hidden="1"/>
    </xf>
    <xf numFmtId="49" fontId="2" fillId="0" borderId="0" xfId="0" applyNumberFormat="1" applyFont="1" applyBorder="1" applyAlignment="1" applyProtection="1">
      <alignment horizontal="center" vertical="center"/>
      <protection hidden="1"/>
    </xf>
    <xf numFmtId="0" fontId="14" fillId="0" borderId="27" xfId="0" applyFont="1" applyBorder="1" applyAlignment="1" applyProtection="1">
      <alignment horizontal="left" vertical="center" wrapText="1"/>
      <protection hidden="1"/>
    </xf>
    <xf numFmtId="0" fontId="26" fillId="0" borderId="30" xfId="0" applyFont="1" applyBorder="1" applyAlignment="1" applyProtection="1">
      <alignment horizontal="center" vertical="center"/>
      <protection hidden="1"/>
    </xf>
    <xf numFmtId="0" fontId="26" fillId="0" borderId="30" xfId="0" applyNumberFormat="1" applyFont="1" applyFill="1" applyBorder="1" applyAlignment="1" applyProtection="1">
      <alignment horizontal="center" vertical="center"/>
      <protection hidden="1"/>
    </xf>
    <xf numFmtId="0" fontId="26" fillId="0" borderId="30" xfId="0" applyFont="1" applyFill="1" applyBorder="1" applyAlignment="1" applyProtection="1">
      <alignment horizontal="center" vertical="center"/>
      <protection hidden="1"/>
    </xf>
    <xf numFmtId="0" fontId="26" fillId="0" borderId="7" xfId="0" applyFont="1" applyFill="1" applyBorder="1" applyAlignment="1" applyProtection="1">
      <alignment horizontal="center" vertical="center"/>
      <protection hidden="1"/>
    </xf>
    <xf numFmtId="0" fontId="26" fillId="0" borderId="28" xfId="0" applyNumberFormat="1" applyFont="1" applyFill="1" applyBorder="1" applyAlignment="1" applyProtection="1">
      <alignment horizontal="center" vertical="center"/>
      <protection hidden="1"/>
    </xf>
    <xf numFmtId="0" fontId="26" fillId="0" borderId="12" xfId="0" applyFont="1" applyFill="1" applyBorder="1" applyAlignment="1" applyProtection="1">
      <alignment horizontal="center" vertical="center"/>
      <protection hidden="1"/>
    </xf>
    <xf numFmtId="0" fontId="6" fillId="3" borderId="1" xfId="0" applyFont="1" applyFill="1" applyBorder="1" applyAlignment="1" applyProtection="1">
      <alignment vertical="center" wrapText="1"/>
      <protection hidden="1"/>
    </xf>
    <xf numFmtId="0" fontId="6" fillId="3" borderId="1" xfId="0" applyFont="1" applyFill="1" applyBorder="1" applyAlignment="1" applyProtection="1">
      <alignment horizontal="center" vertical="center"/>
      <protection hidden="1"/>
    </xf>
    <xf numFmtId="0" fontId="6" fillId="0" borderId="14" xfId="0" applyFont="1" applyFill="1" applyBorder="1" applyAlignment="1" applyProtection="1">
      <alignment vertical="center" wrapText="1"/>
      <protection hidden="1"/>
    </xf>
    <xf numFmtId="2" fontId="6" fillId="0" borderId="0" xfId="0" applyNumberFormat="1"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16" fillId="0" borderId="25" xfId="0" applyFont="1" applyBorder="1" applyAlignment="1" applyProtection="1">
      <alignment horizontal="left" vertical="center" wrapText="1"/>
      <protection hidden="1"/>
    </xf>
    <xf numFmtId="0" fontId="2" fillId="3" borderId="1" xfId="0" applyFont="1" applyFill="1" applyBorder="1" applyAlignment="1" applyProtection="1">
      <alignment wrapText="1"/>
      <protection hidden="1"/>
    </xf>
    <xf numFmtId="0" fontId="2" fillId="3" borderId="16" xfId="0" applyFont="1" applyFill="1" applyBorder="1" applyAlignment="1" applyProtection="1">
      <alignment horizontal="center" vertical="center" wrapText="1"/>
      <protection hidden="1"/>
    </xf>
    <xf numFmtId="0" fontId="16" fillId="0" borderId="26" xfId="0" applyFont="1" applyBorder="1" applyAlignment="1" applyProtection="1">
      <alignment horizontal="left" vertical="center" wrapText="1"/>
      <protection hidden="1"/>
    </xf>
    <xf numFmtId="165" fontId="3" fillId="3" borderId="1" xfId="0" applyNumberFormat="1"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wrapText="1"/>
      <protection hidden="1"/>
    </xf>
    <xf numFmtId="0" fontId="2" fillId="0" borderId="0" xfId="0" applyFont="1" applyFill="1" applyBorder="1" applyProtection="1">
      <protection hidden="1"/>
    </xf>
    <xf numFmtId="0" fontId="16" fillId="0" borderId="27" xfId="0" applyFont="1" applyBorder="1" applyAlignment="1" applyProtection="1">
      <alignment horizontal="left" vertical="center" wrapText="1"/>
      <protection hidden="1"/>
    </xf>
    <xf numFmtId="0" fontId="3" fillId="0" borderId="0" xfId="0" applyFont="1" applyBorder="1" applyAlignment="1" applyProtection="1">
      <protection hidden="1"/>
    </xf>
    <xf numFmtId="0" fontId="26" fillId="0" borderId="29" xfId="0" applyFont="1" applyFill="1" applyBorder="1" applyAlignment="1" applyProtection="1">
      <alignment horizontal="center" vertical="center"/>
      <protection hidden="1"/>
    </xf>
    <xf numFmtId="4" fontId="26" fillId="0" borderId="12" xfId="0" applyNumberFormat="1" applyFont="1" applyFill="1" applyBorder="1" applyAlignment="1" applyProtection="1">
      <alignment horizontal="center" vertical="center"/>
      <protection hidden="1"/>
    </xf>
    <xf numFmtId="0" fontId="0" fillId="0" borderId="11" xfId="0" applyBorder="1" applyAlignment="1" applyProtection="1">
      <alignment horizontal="left" vertical="center"/>
      <protection hidden="1"/>
    </xf>
    <xf numFmtId="0" fontId="0" fillId="0" borderId="12" xfId="0" applyBorder="1" applyAlignment="1" applyProtection="1">
      <alignment horizontal="left" vertical="center"/>
      <protection hidden="1"/>
    </xf>
    <xf numFmtId="0" fontId="3" fillId="0" borderId="0" xfId="0" applyFont="1" applyBorder="1" applyAlignment="1" applyProtection="1">
      <alignment horizontal="left" vertical="center"/>
      <protection hidden="1"/>
    </xf>
    <xf numFmtId="0" fontId="3" fillId="0" borderId="0"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0" xfId="0" applyAlignment="1" applyProtection="1">
      <alignment horizontal="left"/>
      <protection hidden="1"/>
    </xf>
    <xf numFmtId="0" fontId="7" fillId="0" borderId="0"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28" fillId="0" borderId="25" xfId="0" applyFont="1" applyBorder="1" applyAlignment="1" applyProtection="1">
      <alignment horizontal="left" vertical="center" wrapText="1"/>
      <protection hidden="1"/>
    </xf>
    <xf numFmtId="0" fontId="26" fillId="0" borderId="28" xfId="0" applyNumberFormat="1" applyFont="1" applyBorder="1" applyAlignment="1" applyProtection="1">
      <alignment horizontal="center" vertical="center"/>
      <protection hidden="1"/>
    </xf>
    <xf numFmtId="0" fontId="28" fillId="0" borderId="26" xfId="0" applyFont="1" applyBorder="1" applyAlignment="1" applyProtection="1">
      <alignment horizontal="left" vertical="center" wrapText="1"/>
      <protection hidden="1"/>
    </xf>
    <xf numFmtId="0" fontId="0" fillId="0" borderId="0" xfId="0" applyFont="1" applyBorder="1" applyAlignment="1" applyProtection="1">
      <alignment horizontal="center" vertical="center"/>
      <protection hidden="1"/>
    </xf>
    <xf numFmtId="0" fontId="0" fillId="0" borderId="0" xfId="0" applyFont="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28" fillId="0" borderId="27" xfId="0" applyFont="1" applyBorder="1" applyAlignment="1" applyProtection="1">
      <alignment horizontal="left" vertical="center" wrapText="1"/>
      <protection hidden="1"/>
    </xf>
    <xf numFmtId="0" fontId="7" fillId="0" borderId="28" xfId="0" applyFont="1" applyBorder="1" applyAlignment="1" applyProtection="1">
      <alignment horizontal="center" vertical="center"/>
      <protection hidden="1"/>
    </xf>
    <xf numFmtId="0" fontId="7" fillId="0" borderId="31" xfId="0" applyFont="1" applyBorder="1" applyAlignment="1" applyProtection="1">
      <alignment horizontal="center" vertical="center"/>
      <protection hidden="1"/>
    </xf>
    <xf numFmtId="0" fontId="26" fillId="0" borderId="15" xfId="0" applyFont="1" applyBorder="1" applyAlignment="1" applyProtection="1">
      <alignment horizontal="center" vertical="center"/>
      <protection hidden="1"/>
    </xf>
    <xf numFmtId="0" fontId="0" fillId="0" borderId="5" xfId="0" applyBorder="1" applyProtection="1">
      <protection hidden="1"/>
    </xf>
    <xf numFmtId="0" fontId="0" fillId="0" borderId="6" xfId="0" applyBorder="1" applyProtection="1">
      <protection hidden="1"/>
    </xf>
    <xf numFmtId="0" fontId="0" fillId="0" borderId="7" xfId="0" applyBorder="1" applyProtection="1">
      <protection hidden="1"/>
    </xf>
    <xf numFmtId="0" fontId="7" fillId="0" borderId="30" xfId="0" applyFont="1" applyBorder="1" applyAlignment="1" applyProtection="1">
      <alignment horizontal="center" vertical="center" wrapText="1"/>
      <protection hidden="1"/>
    </xf>
    <xf numFmtId="0" fontId="7" fillId="0" borderId="32" xfId="0" applyFont="1" applyBorder="1" applyAlignment="1" applyProtection="1">
      <alignment horizontal="center" vertical="center" wrapText="1"/>
      <protection hidden="1"/>
    </xf>
    <xf numFmtId="0" fontId="7" fillId="0" borderId="7" xfId="0" applyFont="1" applyFill="1" applyBorder="1" applyAlignment="1" applyProtection="1">
      <alignment horizontal="center" vertical="center" wrapText="1"/>
      <protection hidden="1"/>
    </xf>
    <xf numFmtId="0" fontId="0" fillId="0" borderId="0" xfId="0" applyBorder="1" applyAlignment="1" applyProtection="1">
      <alignment horizontal="center"/>
      <protection hidden="1"/>
    </xf>
    <xf numFmtId="0" fontId="3" fillId="4" borderId="1" xfId="0" applyFont="1" applyFill="1" applyBorder="1" applyAlignment="1" applyProtection="1">
      <alignment horizontal="center" vertical="center" wrapText="1"/>
      <protection locked="0" hidden="1"/>
    </xf>
    <xf numFmtId="0" fontId="3" fillId="4" borderId="1" xfId="0" applyFont="1" applyFill="1" applyBorder="1" applyAlignment="1" applyProtection="1">
      <alignment horizontal="center" vertical="center"/>
      <protection locked="0" hidden="1"/>
    </xf>
    <xf numFmtId="169" fontId="7" fillId="0" borderId="10" xfId="0" applyNumberFormat="1" applyFont="1" applyFill="1" applyBorder="1" applyAlignment="1" applyProtection="1">
      <alignment horizontal="center" vertical="center"/>
      <protection hidden="1"/>
    </xf>
    <xf numFmtId="0" fontId="32" fillId="0" borderId="1" xfId="0" applyFont="1" applyBorder="1" applyAlignment="1" applyProtection="1">
      <alignment horizontal="center" vertical="center"/>
      <protection hidden="1"/>
    </xf>
    <xf numFmtId="164" fontId="7" fillId="8" borderId="13" xfId="0" applyNumberFormat="1" applyFont="1" applyFill="1" applyBorder="1" applyAlignment="1" applyProtection="1">
      <alignment horizontal="center" vertical="center" wrapText="1"/>
      <protection hidden="1"/>
    </xf>
    <xf numFmtId="165" fontId="3" fillId="8" borderId="1" xfId="0" applyNumberFormat="1" applyFont="1" applyFill="1" applyBorder="1" applyAlignment="1" applyProtection="1">
      <alignment horizontal="center" vertical="center" wrapText="1"/>
      <protection hidden="1"/>
    </xf>
    <xf numFmtId="164" fontId="26" fillId="0" borderId="29" xfId="0" applyNumberFormat="1" applyFont="1" applyBorder="1" applyAlignment="1" applyProtection="1">
      <alignment horizontal="center" vertical="center"/>
      <protection hidden="1"/>
    </xf>
    <xf numFmtId="164" fontId="26" fillId="0" borderId="33" xfId="0" applyNumberFormat="1" applyFont="1" applyBorder="1" applyAlignment="1" applyProtection="1">
      <alignment horizontal="center" vertical="center"/>
      <protection hidden="1"/>
    </xf>
    <xf numFmtId="164" fontId="26" fillId="0" borderId="15" xfId="0" applyNumberFormat="1" applyFont="1" applyBorder="1" applyAlignment="1" applyProtection="1">
      <alignment horizontal="center" vertical="center"/>
      <protection hidden="1"/>
    </xf>
    <xf numFmtId="0" fontId="7" fillId="4" borderId="0" xfId="0" applyFont="1" applyFill="1" applyBorder="1" applyAlignment="1" applyProtection="1">
      <alignment horizontal="center" vertical="center"/>
      <protection locked="0" hidden="1"/>
    </xf>
    <xf numFmtId="0" fontId="12" fillId="0" borderId="0" xfId="0" applyFont="1" applyFill="1" applyBorder="1" applyAlignment="1" applyProtection="1">
      <protection hidden="1"/>
    </xf>
    <xf numFmtId="0" fontId="37" fillId="0" borderId="0" xfId="1" applyFont="1" applyAlignment="1" applyProtection="1">
      <alignment horizontal="left"/>
      <protection hidden="1"/>
    </xf>
    <xf numFmtId="0" fontId="38" fillId="0" borderId="0" xfId="0" applyFont="1" applyFill="1" applyBorder="1" applyAlignment="1" applyProtection="1">
      <alignment vertical="top" wrapText="1"/>
      <protection hidden="1"/>
    </xf>
    <xf numFmtId="49" fontId="43" fillId="0" borderId="0" xfId="0" applyNumberFormat="1" applyFont="1" applyFill="1" applyBorder="1" applyAlignment="1" applyProtection="1">
      <alignment vertical="center" wrapText="1"/>
      <protection hidden="1"/>
    </xf>
    <xf numFmtId="0" fontId="44" fillId="0" borderId="0" xfId="0" applyFont="1"/>
    <xf numFmtId="9" fontId="28" fillId="0" borderId="20" xfId="0" applyNumberFormat="1" applyFont="1" applyBorder="1" applyAlignment="1" applyProtection="1">
      <alignment horizontal="center" vertical="center" wrapText="1"/>
      <protection hidden="1"/>
    </xf>
    <xf numFmtId="0" fontId="28" fillId="0" borderId="21" xfId="0" applyFont="1" applyBorder="1" applyAlignment="1" applyProtection="1">
      <alignment horizontal="center" vertical="center" wrapText="1"/>
      <protection hidden="1"/>
    </xf>
    <xf numFmtId="0" fontId="28" fillId="0" borderId="23" xfId="0" applyFont="1" applyBorder="1" applyAlignment="1" applyProtection="1">
      <alignment horizontal="center" vertical="center" wrapText="1"/>
      <protection hidden="1"/>
    </xf>
    <xf numFmtId="0" fontId="35" fillId="0" borderId="20" xfId="0" applyFont="1" applyBorder="1" applyAlignment="1" applyProtection="1">
      <alignment horizontal="center" vertical="center" wrapText="1"/>
      <protection hidden="1"/>
    </xf>
    <xf numFmtId="0" fontId="35" fillId="0" borderId="21" xfId="0" applyFont="1" applyBorder="1" applyAlignment="1" applyProtection="1">
      <alignment horizontal="center" vertical="center" wrapText="1"/>
      <protection hidden="1"/>
    </xf>
    <xf numFmtId="0" fontId="35" fillId="0" borderId="23" xfId="0" applyFont="1" applyBorder="1" applyAlignment="1" applyProtection="1">
      <alignment horizontal="center" vertical="center" wrapText="1"/>
      <protection hidden="1"/>
    </xf>
    <xf numFmtId="0" fontId="7" fillId="0" borderId="0" xfId="0" applyFont="1" applyFill="1" applyBorder="1" applyAlignment="1" applyProtection="1">
      <alignment horizontal="left" wrapText="1"/>
      <protection hidden="1"/>
    </xf>
    <xf numFmtId="0" fontId="13" fillId="0" borderId="0" xfId="0" applyFont="1" applyBorder="1" applyAlignment="1" applyProtection="1">
      <alignment horizontal="left" vertical="top" wrapText="1"/>
      <protection hidden="1"/>
    </xf>
    <xf numFmtId="0" fontId="0" fillId="0" borderId="0" xfId="0" applyFill="1" applyBorder="1" applyAlignment="1" applyProtection="1">
      <alignment horizontal="center"/>
      <protection hidden="1"/>
    </xf>
    <xf numFmtId="9" fontId="14" fillId="0" borderId="20" xfId="0" applyNumberFormat="1" applyFont="1" applyBorder="1" applyAlignment="1" applyProtection="1">
      <alignment horizontal="center" vertical="center" wrapText="1"/>
      <protection hidden="1"/>
    </xf>
    <xf numFmtId="9" fontId="14" fillId="0" borderId="21" xfId="0" applyNumberFormat="1" applyFont="1" applyBorder="1" applyAlignment="1" applyProtection="1">
      <alignment horizontal="center" vertical="center" wrapText="1"/>
      <protection hidden="1"/>
    </xf>
    <xf numFmtId="9" fontId="14" fillId="0" borderId="23" xfId="0" applyNumberFormat="1" applyFont="1" applyBorder="1" applyAlignment="1" applyProtection="1">
      <alignment horizontal="center" vertical="center" wrapText="1"/>
      <protection hidden="1"/>
    </xf>
    <xf numFmtId="9" fontId="16" fillId="0" borderId="20" xfId="0" applyNumberFormat="1" applyFont="1" applyBorder="1" applyAlignment="1" applyProtection="1">
      <alignment horizontal="center" vertical="center" wrapText="1"/>
      <protection hidden="1"/>
    </xf>
    <xf numFmtId="0" fontId="16" fillId="0" borderId="21" xfId="0" applyFont="1" applyBorder="1" applyAlignment="1" applyProtection="1">
      <alignment horizontal="center" vertical="center" wrapText="1"/>
      <protection hidden="1"/>
    </xf>
    <xf numFmtId="0" fontId="16" fillId="0" borderId="23" xfId="0" applyFont="1" applyBorder="1" applyAlignment="1" applyProtection="1">
      <alignment horizontal="center" vertical="center" wrapText="1"/>
      <protection hidden="1"/>
    </xf>
    <xf numFmtId="0" fontId="34" fillId="0" borderId="20" xfId="0" applyFont="1" applyBorder="1" applyAlignment="1" applyProtection="1">
      <alignment horizontal="center" vertical="center" wrapText="1"/>
      <protection hidden="1"/>
    </xf>
    <xf numFmtId="0" fontId="34" fillId="0" borderId="21" xfId="0" applyFont="1" applyBorder="1" applyAlignment="1" applyProtection="1">
      <alignment horizontal="center" vertical="center" wrapText="1"/>
      <protection hidden="1"/>
    </xf>
    <xf numFmtId="0" fontId="34" fillId="0" borderId="23"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3" xfId="0" applyFont="1" applyBorder="1" applyAlignment="1" applyProtection="1">
      <alignment horizontal="center" vertical="center" wrapText="1"/>
      <protection hidden="1"/>
    </xf>
    <xf numFmtId="0" fontId="3" fillId="4" borderId="13" xfId="0" applyFont="1" applyFill="1" applyBorder="1" applyAlignment="1" applyProtection="1">
      <alignment horizontal="center" vertical="center" wrapText="1"/>
      <protection locked="0" hidden="1"/>
    </xf>
    <xf numFmtId="0" fontId="3" fillId="4" borderId="16" xfId="0" applyFont="1" applyFill="1" applyBorder="1" applyAlignment="1" applyProtection="1">
      <alignment horizontal="center" vertical="center" wrapText="1"/>
      <protection locked="0" hidden="1"/>
    </xf>
    <xf numFmtId="0" fontId="5" fillId="0" borderId="13"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5" fillId="0" borderId="16" xfId="0" applyFont="1" applyBorder="1" applyAlignment="1" applyProtection="1">
      <alignment horizontal="center"/>
      <protection hidden="1"/>
    </xf>
    <xf numFmtId="0" fontId="2" fillId="4" borderId="2" xfId="0" applyFont="1" applyFill="1" applyBorder="1" applyAlignment="1" applyProtection="1">
      <alignment horizontal="center" vertical="center" wrapText="1"/>
      <protection hidden="1"/>
    </xf>
    <xf numFmtId="0" fontId="2" fillId="4" borderId="3" xfId="0" applyFont="1" applyFill="1" applyBorder="1" applyAlignment="1" applyProtection="1">
      <alignment horizontal="center" vertical="center" wrapText="1"/>
      <protection hidden="1"/>
    </xf>
    <xf numFmtId="0" fontId="2" fillId="4" borderId="4" xfId="0" applyFont="1" applyFill="1" applyBorder="1" applyAlignment="1" applyProtection="1">
      <alignment horizontal="center" vertical="center" wrapText="1"/>
      <protection hidden="1"/>
    </xf>
    <xf numFmtId="0" fontId="5" fillId="0" borderId="1" xfId="0" applyFont="1" applyFill="1" applyBorder="1" applyAlignment="1" applyProtection="1">
      <alignment horizontal="center" vertical="center" wrapText="1"/>
      <protection hidden="1"/>
    </xf>
    <xf numFmtId="0" fontId="7" fillId="4" borderId="13" xfId="0" applyFont="1" applyFill="1" applyBorder="1" applyAlignment="1" applyProtection="1">
      <alignment horizontal="left" vertical="center" wrapText="1"/>
      <protection locked="0" hidden="1"/>
    </xf>
    <xf numFmtId="0" fontId="7" fillId="4" borderId="16" xfId="0" applyFont="1" applyFill="1" applyBorder="1" applyAlignment="1" applyProtection="1">
      <alignment horizontal="left" vertical="center" wrapText="1"/>
      <protection locked="0" hidden="1"/>
    </xf>
    <xf numFmtId="0" fontId="33" fillId="0" borderId="20" xfId="0" applyFont="1" applyBorder="1" applyAlignment="1" applyProtection="1">
      <alignment horizontal="center" vertical="center" wrapText="1"/>
      <protection hidden="1"/>
    </xf>
    <xf numFmtId="0" fontId="33" fillId="0" borderId="21" xfId="0" applyFont="1" applyBorder="1" applyAlignment="1" applyProtection="1">
      <alignment horizontal="center" vertical="center" wrapText="1"/>
      <protection hidden="1"/>
    </xf>
    <xf numFmtId="0" fontId="33" fillId="0" borderId="23" xfId="0" applyFont="1" applyBorder="1" applyAlignment="1" applyProtection="1">
      <alignment horizontal="center" vertical="center" wrapText="1"/>
      <protection hidden="1"/>
    </xf>
    <xf numFmtId="0" fontId="39" fillId="0" borderId="5" xfId="0" applyFont="1" applyBorder="1" applyAlignment="1" applyProtection="1">
      <alignment horizontal="center" vertical="center"/>
      <protection hidden="1"/>
    </xf>
    <xf numFmtId="0" fontId="39" fillId="0" borderId="6" xfId="0" applyFont="1" applyBorder="1" applyAlignment="1" applyProtection="1">
      <alignment horizontal="center" vertical="center"/>
      <protection hidden="1"/>
    </xf>
    <xf numFmtId="0" fontId="39" fillId="0" borderId="7" xfId="0" applyFont="1" applyBorder="1" applyAlignment="1" applyProtection="1">
      <alignment horizontal="center" vertical="center"/>
      <protection hidden="1"/>
    </xf>
    <xf numFmtId="0" fontId="40" fillId="0" borderId="2" xfId="0" applyFont="1" applyFill="1" applyBorder="1" applyAlignment="1" applyProtection="1">
      <alignment horizontal="center" vertical="center" wrapText="1"/>
      <protection hidden="1"/>
    </xf>
    <xf numFmtId="0" fontId="40" fillId="0" borderId="3" xfId="0" applyFont="1" applyFill="1" applyBorder="1" applyAlignment="1" applyProtection="1">
      <alignment horizontal="center" vertical="center" wrapText="1"/>
      <protection hidden="1"/>
    </xf>
    <xf numFmtId="0" fontId="40" fillId="0" borderId="4" xfId="0" applyFont="1" applyFill="1" applyBorder="1" applyAlignment="1" applyProtection="1">
      <alignment horizontal="center" vertical="center" wrapText="1"/>
      <protection hidden="1"/>
    </xf>
    <xf numFmtId="0" fontId="0" fillId="0" borderId="0" xfId="0" applyBorder="1" applyAlignment="1">
      <alignment horizontal="left" vertical="center" wrapText="1"/>
    </xf>
    <xf numFmtId="0" fontId="3" fillId="0" borderId="1" xfId="0" applyFont="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0" fillId="0" borderId="0" xfId="0" applyAlignment="1">
      <alignment horizontal="center"/>
    </xf>
    <xf numFmtId="0" fontId="3" fillId="0" borderId="18" xfId="0" applyFont="1" applyBorder="1" applyAlignment="1">
      <alignment horizontal="center"/>
    </xf>
    <xf numFmtId="0" fontId="3" fillId="0" borderId="18" xfId="0" applyFont="1" applyBorder="1" applyAlignment="1">
      <alignment horizontal="center" wrapText="1"/>
    </xf>
    <xf numFmtId="0" fontId="3" fillId="0" borderId="1" xfId="0" applyFont="1" applyBorder="1" applyAlignment="1">
      <alignment horizontal="center" wrapText="1"/>
    </xf>
    <xf numFmtId="0" fontId="3" fillId="0" borderId="1" xfId="0" applyFont="1" applyBorder="1" applyAlignment="1">
      <alignment horizontal="center"/>
    </xf>
    <xf numFmtId="0" fontId="27" fillId="0" borderId="2"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9" fontId="27" fillId="0" borderId="2" xfId="0" applyNumberFormat="1" applyFont="1" applyBorder="1" applyAlignment="1">
      <alignment horizontal="center"/>
    </xf>
    <xf numFmtId="0" fontId="0" fillId="5" borderId="8" xfId="0" applyFill="1" applyBorder="1" applyAlignment="1">
      <alignment horizontal="center" vertical="center"/>
    </xf>
    <xf numFmtId="0" fontId="0" fillId="5" borderId="11" xfId="0" applyFill="1" applyBorder="1" applyAlignment="1">
      <alignment horizontal="center" vertical="center"/>
    </xf>
    <xf numFmtId="0" fontId="0" fillId="5" borderId="5" xfId="0" applyFill="1" applyBorder="1" applyAlignment="1">
      <alignment horizontal="center" vertical="center"/>
    </xf>
    <xf numFmtId="166" fontId="0" fillId="0" borderId="8" xfId="0" applyNumberFormat="1" applyBorder="1" applyAlignment="1">
      <alignment horizontal="center" vertical="center"/>
    </xf>
    <xf numFmtId="166" fontId="0" fillId="0" borderId="11" xfId="0" applyNumberFormat="1" applyBorder="1" applyAlignment="1">
      <alignment horizontal="center" vertical="center"/>
    </xf>
    <xf numFmtId="166" fontId="0" fillId="0" borderId="5" xfId="0" applyNumberFormat="1" applyBorder="1" applyAlignment="1">
      <alignment horizontal="center" vertical="center"/>
    </xf>
    <xf numFmtId="166" fontId="0" fillId="5" borderId="8" xfId="0" applyNumberFormat="1" applyFill="1" applyBorder="1" applyAlignment="1">
      <alignment horizontal="center" vertical="center"/>
    </xf>
    <xf numFmtId="166" fontId="0" fillId="5" borderId="11" xfId="0" applyNumberFormat="1" applyFill="1" applyBorder="1" applyAlignment="1">
      <alignment horizontal="center" vertical="center"/>
    </xf>
    <xf numFmtId="166" fontId="0" fillId="5" borderId="5" xfId="0" applyNumberFormat="1" applyFill="1" applyBorder="1" applyAlignment="1">
      <alignment horizontal="center" vertical="center"/>
    </xf>
    <xf numFmtId="165" fontId="0" fillId="0" borderId="8"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5" xfId="0" applyNumberFormat="1" applyBorder="1" applyAlignment="1">
      <alignment horizontal="center" vertical="center"/>
    </xf>
    <xf numFmtId="165" fontId="0" fillId="5" borderId="8" xfId="0" applyNumberFormat="1" applyFill="1" applyBorder="1" applyAlignment="1">
      <alignment horizontal="center" vertical="center"/>
    </xf>
    <xf numFmtId="165" fontId="0" fillId="5" borderId="11" xfId="0" applyNumberFormat="1" applyFill="1" applyBorder="1" applyAlignment="1">
      <alignment horizontal="center" vertical="center"/>
    </xf>
    <xf numFmtId="165" fontId="0" fillId="5" borderId="5" xfId="0" applyNumberFormat="1" applyFill="1" applyBorder="1" applyAlignment="1">
      <alignment horizontal="center" vertical="center"/>
    </xf>
    <xf numFmtId="0" fontId="23" fillId="5" borderId="20" xfId="0" applyFont="1" applyFill="1" applyBorder="1" applyAlignment="1">
      <alignment horizontal="center" wrapText="1"/>
    </xf>
    <xf numFmtId="0" fontId="23" fillId="5" borderId="21" xfId="0" applyFont="1" applyFill="1" applyBorder="1" applyAlignment="1">
      <alignment horizontal="center" wrapText="1"/>
    </xf>
    <xf numFmtId="0" fontId="24" fillId="5" borderId="6" xfId="0" applyFont="1" applyFill="1" applyBorder="1" applyAlignment="1">
      <alignment horizontal="right"/>
    </xf>
    <xf numFmtId="0" fontId="24" fillId="5" borderId="5" xfId="0" applyFont="1" applyFill="1" applyBorder="1" applyAlignment="1">
      <alignment horizontal="right"/>
    </xf>
    <xf numFmtId="2" fontId="0" fillId="5" borderId="8" xfId="0" applyNumberFormat="1" applyFill="1" applyBorder="1" applyAlignment="1">
      <alignment horizontal="center" vertical="center"/>
    </xf>
    <xf numFmtId="2" fontId="0" fillId="5" borderId="11" xfId="0" applyNumberFormat="1" applyFill="1" applyBorder="1" applyAlignment="1">
      <alignment horizontal="center" vertical="center"/>
    </xf>
    <xf numFmtId="2" fontId="0" fillId="5" borderId="5" xfId="0" applyNumberFormat="1" applyFill="1" applyBorder="1" applyAlignment="1">
      <alignment horizontal="center" vertical="center"/>
    </xf>
    <xf numFmtId="2" fontId="0" fillId="0" borderId="8" xfId="0" applyNumberFormat="1" applyBorder="1" applyAlignment="1">
      <alignment horizontal="center" vertical="center"/>
    </xf>
    <xf numFmtId="2" fontId="0" fillId="0" borderId="11" xfId="0" applyNumberFormat="1" applyBorder="1" applyAlignment="1">
      <alignment horizontal="center" vertical="center"/>
    </xf>
    <xf numFmtId="2" fontId="0" fillId="0" borderId="5" xfId="0" applyNumberFormat="1"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center" vertical="center"/>
    </xf>
    <xf numFmtId="1" fontId="0" fillId="5" borderId="8" xfId="0" applyNumberFormat="1" applyFill="1" applyBorder="1" applyAlignment="1">
      <alignment horizontal="center" vertical="center"/>
    </xf>
    <xf numFmtId="1" fontId="0" fillId="5" borderId="11" xfId="0" applyNumberFormat="1" applyFill="1" applyBorder="1" applyAlignment="1">
      <alignment horizontal="center" vertical="center"/>
    </xf>
    <xf numFmtId="1" fontId="0" fillId="5" borderId="5" xfId="0" applyNumberFormat="1" applyFill="1" applyBorder="1" applyAlignment="1">
      <alignment horizontal="center" vertical="center"/>
    </xf>
  </cellXfs>
  <cellStyles count="2">
    <cellStyle name="Гиперссылка" xfId="1" builtinId="8"/>
    <cellStyle name="Обычный" xfId="0" builtinId="0"/>
  </cellStyles>
  <dxfs count="2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s>
  <tableStyles count="0" defaultTableStyle="TableStyleMedium2" defaultPivotStyle="PivotStyleMedium9"/>
  <colors>
    <mruColors>
      <color rgb="FFFFFF99"/>
      <color rgb="FFFF505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jp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jpeg"/><Relationship Id="rId5" Type="http://schemas.openxmlformats.org/officeDocument/2006/relationships/image" Target="../media/image5.emf"/><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emf"/><Relationship Id="rId9" Type="http://schemas.openxmlformats.org/officeDocument/2006/relationships/image" Target="../media/image9.jp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27.png"/><Relationship Id="rId4" Type="http://schemas.openxmlformats.org/officeDocument/2006/relationships/image" Target="../media/image26.png"/></Relationships>
</file>

<file path=xl/drawings/_rels/drawing3.xml.rels><?xml version="1.0" encoding="UTF-8" standalone="yes"?>
<Relationships xmlns="http://schemas.openxmlformats.org/package/2006/relationships"><Relationship Id="rId8" Type="http://schemas.openxmlformats.org/officeDocument/2006/relationships/image" Target="../media/image35.jpg"/><Relationship Id="rId13" Type="http://schemas.openxmlformats.org/officeDocument/2006/relationships/image" Target="../media/image40.jpg"/><Relationship Id="rId3" Type="http://schemas.openxmlformats.org/officeDocument/2006/relationships/image" Target="../media/image30.emf"/><Relationship Id="rId7" Type="http://schemas.openxmlformats.org/officeDocument/2006/relationships/image" Target="../media/image34.jpg"/><Relationship Id="rId12" Type="http://schemas.openxmlformats.org/officeDocument/2006/relationships/image" Target="../media/image39.emf"/><Relationship Id="rId2" Type="http://schemas.openxmlformats.org/officeDocument/2006/relationships/image" Target="../media/image29.jpg"/><Relationship Id="rId1" Type="http://schemas.openxmlformats.org/officeDocument/2006/relationships/image" Target="../media/image28.jpg"/><Relationship Id="rId6" Type="http://schemas.openxmlformats.org/officeDocument/2006/relationships/image" Target="../media/image33.jpg"/><Relationship Id="rId11" Type="http://schemas.openxmlformats.org/officeDocument/2006/relationships/image" Target="../media/image38.jpg"/><Relationship Id="rId5" Type="http://schemas.openxmlformats.org/officeDocument/2006/relationships/image" Target="../media/image32.jpg"/><Relationship Id="rId10" Type="http://schemas.openxmlformats.org/officeDocument/2006/relationships/image" Target="../media/image37.jpg"/><Relationship Id="rId4" Type="http://schemas.openxmlformats.org/officeDocument/2006/relationships/image" Target="../media/image31.jpg"/><Relationship Id="rId9" Type="http://schemas.openxmlformats.org/officeDocument/2006/relationships/image" Target="../media/image36.jpg"/></Relationships>
</file>

<file path=xl/drawings/_rels/drawing4.x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3.emf"/></Relationships>
</file>

<file path=xl/drawings/_rels/drawing5.x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3.emf"/></Relationships>
</file>

<file path=xl/drawings/_rels/drawing6.x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3.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15</xdr:row>
          <xdr:rowOff>23814</xdr:rowOff>
        </xdr:from>
        <xdr:to>
          <xdr:col>11</xdr:col>
          <xdr:colOff>1354425</xdr:colOff>
          <xdr:row>15</xdr:row>
          <xdr:rowOff>1075014</xdr:rowOff>
        </xdr:to>
        <xdr:pic>
          <xdr:nvPicPr>
            <xdr:cNvPr id="9" name="Рисунок 8">
              <a:extLst>
                <a:ext uri="{FF2B5EF4-FFF2-40B4-BE49-F238E27FC236}">
                  <a16:creationId xmlns:a16="http://schemas.microsoft.com/office/drawing/2014/main" id="{72940EC0-CE8B-41C1-9A63-39B10C473336}"/>
                </a:ext>
              </a:extLst>
            </xdr:cNvPr>
            <xdr:cNvPicPr>
              <a:picLocks/>
              <a:extLst>
                <a:ext uri="{84589F7E-364E-4C9E-8A38-B11213B215E9}">
                  <a14:cameraTool cellRange="logo3" spid="_x0000_s42688"/>
                </a:ext>
              </a:extLst>
            </xdr:cNvPicPr>
          </xdr:nvPicPr>
          <xdr:blipFill>
            <a:blip xmlns:r="http://schemas.openxmlformats.org/officeDocument/2006/relationships" r:embed="rId1"/>
            <a:stretch>
              <a:fillRect/>
            </a:stretch>
          </xdr:blipFill>
          <xdr:spPr>
            <a:xfrm>
              <a:off x="9477375" y="6096002"/>
              <a:ext cx="1306800" cy="1051200"/>
            </a:xfrm>
            <a:prstGeom prst="rect">
              <a:avLst/>
            </a:prstGeom>
          </xdr:spPr>
        </xdr:pic>
        <xdr:clientData/>
      </xdr:twoCellAnchor>
    </mc:Choice>
    <mc:Fallback/>
  </mc:AlternateContent>
  <xdr:twoCellAnchor editAs="oneCell">
    <xdr:from>
      <xdr:col>13</xdr:col>
      <xdr:colOff>781050</xdr:colOff>
      <xdr:row>1</xdr:row>
      <xdr:rowOff>107851</xdr:rowOff>
    </xdr:from>
    <xdr:to>
      <xdr:col>14</xdr:col>
      <xdr:colOff>1000124</xdr:colOff>
      <xdr:row>1</xdr:row>
      <xdr:rowOff>547265</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54000" y="317401"/>
          <a:ext cx="1609724" cy="43941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43424</xdr:colOff>
          <xdr:row>9</xdr:row>
          <xdr:rowOff>22410</xdr:rowOff>
        </xdr:from>
        <xdr:to>
          <xdr:col>10</xdr:col>
          <xdr:colOff>1349746</xdr:colOff>
          <xdr:row>9</xdr:row>
          <xdr:rowOff>1074100</xdr:rowOff>
        </xdr:to>
        <xdr:pic>
          <xdr:nvPicPr>
            <xdr:cNvPr id="13" name="Рисунок 12">
              <a:extLst>
                <a:ext uri="{FF2B5EF4-FFF2-40B4-BE49-F238E27FC236}">
                  <a16:creationId xmlns:a16="http://schemas.microsoft.com/office/drawing/2014/main" id="{9CCCD1A9-3229-4574-AA54-9EF15BA2DF13}"/>
                </a:ext>
              </a:extLst>
            </xdr:cNvPr>
            <xdr:cNvPicPr>
              <a:picLocks/>
              <a:extLst>
                <a:ext uri="{84589F7E-364E-4C9E-8A38-B11213B215E9}">
                  <a14:cameraTool cellRange="logo2" spid="_x0000_s42689"/>
                </a:ext>
              </a:extLst>
            </xdr:cNvPicPr>
          </xdr:nvPicPr>
          <xdr:blipFill>
            <a:blip xmlns:r="http://schemas.openxmlformats.org/officeDocument/2006/relationships" r:embed="rId1"/>
            <a:stretch>
              <a:fillRect/>
            </a:stretch>
          </xdr:blipFill>
          <xdr:spPr>
            <a:xfrm>
              <a:off x="8092049" y="3534754"/>
              <a:ext cx="1306322" cy="105169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51370</xdr:colOff>
          <xdr:row>9</xdr:row>
          <xdr:rowOff>22412</xdr:rowOff>
        </xdr:from>
        <xdr:to>
          <xdr:col>11</xdr:col>
          <xdr:colOff>1357692</xdr:colOff>
          <xdr:row>9</xdr:row>
          <xdr:rowOff>1074102</xdr:rowOff>
        </xdr:to>
        <xdr:pic>
          <xdr:nvPicPr>
            <xdr:cNvPr id="15" name="Рисунок 14">
              <a:extLst>
                <a:ext uri="{FF2B5EF4-FFF2-40B4-BE49-F238E27FC236}">
                  <a16:creationId xmlns:a16="http://schemas.microsoft.com/office/drawing/2014/main" id="{F59F9BB1-8661-4F80-882A-1B14E45E9489}"/>
                </a:ext>
              </a:extLst>
            </xdr:cNvPr>
            <xdr:cNvPicPr>
              <a:picLocks/>
              <a:extLst>
                <a:ext uri="{84589F7E-364E-4C9E-8A38-B11213B215E9}">
                  <a14:cameraTool cellRange="logo4" spid="_x0000_s42690"/>
                </a:ext>
              </a:extLst>
            </xdr:cNvPicPr>
          </xdr:nvPicPr>
          <xdr:blipFill>
            <a:blip xmlns:r="http://schemas.openxmlformats.org/officeDocument/2006/relationships" r:embed="rId1"/>
            <a:stretch>
              <a:fillRect/>
            </a:stretch>
          </xdr:blipFill>
          <xdr:spPr>
            <a:xfrm>
              <a:off x="9481120" y="3534756"/>
              <a:ext cx="1306322" cy="105169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56729</xdr:colOff>
          <xdr:row>9</xdr:row>
          <xdr:rowOff>17287</xdr:rowOff>
        </xdr:from>
        <xdr:to>
          <xdr:col>12</xdr:col>
          <xdr:colOff>1363051</xdr:colOff>
          <xdr:row>9</xdr:row>
          <xdr:rowOff>1068487</xdr:rowOff>
        </xdr:to>
        <xdr:pic>
          <xdr:nvPicPr>
            <xdr:cNvPr id="17" name="Рисунок 16">
              <a:extLst>
                <a:ext uri="{FF2B5EF4-FFF2-40B4-BE49-F238E27FC236}">
                  <a16:creationId xmlns:a16="http://schemas.microsoft.com/office/drawing/2014/main" id="{BCD84C6B-6890-493F-99D3-79F51913704B}"/>
                </a:ext>
              </a:extLst>
            </xdr:cNvPr>
            <xdr:cNvPicPr>
              <a:picLocks/>
              <a:extLst>
                <a:ext uri="{84589F7E-364E-4C9E-8A38-B11213B215E9}">
                  <a14:cameraTool cellRange="logo5" spid="_x0000_s42691"/>
                </a:ext>
              </a:extLst>
            </xdr:cNvPicPr>
          </xdr:nvPicPr>
          <xdr:blipFill>
            <a:blip xmlns:r="http://schemas.openxmlformats.org/officeDocument/2006/relationships" r:embed="rId1"/>
            <a:stretch>
              <a:fillRect/>
            </a:stretch>
          </xdr:blipFill>
          <xdr:spPr>
            <a:xfrm>
              <a:off x="10867604" y="3529631"/>
              <a:ext cx="1306322"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54631</xdr:colOff>
          <xdr:row>9</xdr:row>
          <xdr:rowOff>20009</xdr:rowOff>
        </xdr:from>
        <xdr:to>
          <xdr:col>13</xdr:col>
          <xdr:colOff>1360953</xdr:colOff>
          <xdr:row>9</xdr:row>
          <xdr:rowOff>1071209</xdr:rowOff>
        </xdr:to>
        <xdr:pic>
          <xdr:nvPicPr>
            <xdr:cNvPr id="19" name="Рисунок 18">
              <a:extLst>
                <a:ext uri="{FF2B5EF4-FFF2-40B4-BE49-F238E27FC236}">
                  <a16:creationId xmlns:a16="http://schemas.microsoft.com/office/drawing/2014/main" id="{2ED2BECC-6132-4ED4-A6FA-DC77FD612CC1}"/>
                </a:ext>
              </a:extLst>
            </xdr:cNvPr>
            <xdr:cNvPicPr>
              <a:picLocks/>
              <a:extLst>
                <a:ext uri="{84589F7E-364E-4C9E-8A38-B11213B215E9}">
                  <a14:cameraTool cellRange="logo6" spid="_x0000_s42692"/>
                </a:ext>
              </a:extLst>
            </xdr:cNvPicPr>
          </xdr:nvPicPr>
          <xdr:blipFill>
            <a:blip xmlns:r="http://schemas.openxmlformats.org/officeDocument/2006/relationships" r:embed="rId1"/>
            <a:stretch>
              <a:fillRect/>
            </a:stretch>
          </xdr:blipFill>
          <xdr:spPr>
            <a:xfrm>
              <a:off x="12246631" y="3532353"/>
              <a:ext cx="1306322"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44824</xdr:colOff>
          <xdr:row>15</xdr:row>
          <xdr:rowOff>22412</xdr:rowOff>
        </xdr:from>
        <xdr:to>
          <xdr:col>10</xdr:col>
          <xdr:colOff>1351146</xdr:colOff>
          <xdr:row>15</xdr:row>
          <xdr:rowOff>1073612</xdr:rowOff>
        </xdr:to>
        <xdr:pic>
          <xdr:nvPicPr>
            <xdr:cNvPr id="21" name="Рисунок 20">
              <a:extLst>
                <a:ext uri="{FF2B5EF4-FFF2-40B4-BE49-F238E27FC236}">
                  <a16:creationId xmlns:a16="http://schemas.microsoft.com/office/drawing/2014/main" id="{A011480F-BFAD-4DE9-9B76-B86F0D4B400F}"/>
                </a:ext>
              </a:extLst>
            </xdr:cNvPr>
            <xdr:cNvPicPr>
              <a:picLocks/>
              <a:extLst>
                <a:ext uri="{84589F7E-364E-4C9E-8A38-B11213B215E9}">
                  <a14:cameraTool cellRange="logo7" spid="_x0000_s42693"/>
                </a:ext>
              </a:extLst>
            </xdr:cNvPicPr>
          </xdr:nvPicPr>
          <xdr:blipFill>
            <a:blip xmlns:r="http://schemas.openxmlformats.org/officeDocument/2006/relationships" r:embed="rId1"/>
            <a:stretch>
              <a:fillRect/>
            </a:stretch>
          </xdr:blipFill>
          <xdr:spPr>
            <a:xfrm>
              <a:off x="8093449" y="6094600"/>
              <a:ext cx="1306322"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56729</xdr:colOff>
          <xdr:row>15</xdr:row>
          <xdr:rowOff>25335</xdr:rowOff>
        </xdr:from>
        <xdr:to>
          <xdr:col>12</xdr:col>
          <xdr:colOff>1363529</xdr:colOff>
          <xdr:row>15</xdr:row>
          <xdr:rowOff>1078089</xdr:rowOff>
        </xdr:to>
        <xdr:pic>
          <xdr:nvPicPr>
            <xdr:cNvPr id="23" name="Рисунок 22">
              <a:extLst>
                <a:ext uri="{FF2B5EF4-FFF2-40B4-BE49-F238E27FC236}">
                  <a16:creationId xmlns:a16="http://schemas.microsoft.com/office/drawing/2014/main" id="{8FB4F49C-6C2F-45C8-97DA-3CD60BCD5BFA}"/>
                </a:ext>
              </a:extLst>
            </xdr:cNvPr>
            <xdr:cNvPicPr>
              <a:picLocks/>
              <a:extLst>
                <a:ext uri="{84589F7E-364E-4C9E-8A38-B11213B215E9}">
                  <a14:cameraTool cellRange="logo8" spid="_x0000_s42694"/>
                </a:ext>
              </a:extLst>
            </xdr:cNvPicPr>
          </xdr:nvPicPr>
          <xdr:blipFill>
            <a:blip xmlns:r="http://schemas.openxmlformats.org/officeDocument/2006/relationships" r:embed="rId1"/>
            <a:stretch>
              <a:fillRect/>
            </a:stretch>
          </xdr:blipFill>
          <xdr:spPr>
            <a:xfrm>
              <a:off x="10867604" y="6097523"/>
              <a:ext cx="1306800" cy="105275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53228</xdr:colOff>
          <xdr:row>15</xdr:row>
          <xdr:rowOff>21010</xdr:rowOff>
        </xdr:from>
        <xdr:to>
          <xdr:col>13</xdr:col>
          <xdr:colOff>1360028</xdr:colOff>
          <xdr:row>15</xdr:row>
          <xdr:rowOff>1072210</xdr:rowOff>
        </xdr:to>
        <xdr:pic>
          <xdr:nvPicPr>
            <xdr:cNvPr id="25" name="Рисунок 24">
              <a:extLst>
                <a:ext uri="{FF2B5EF4-FFF2-40B4-BE49-F238E27FC236}">
                  <a16:creationId xmlns:a16="http://schemas.microsoft.com/office/drawing/2014/main" id="{B7DB5366-2436-4EEA-AA8B-AF1902A3D165}"/>
                </a:ext>
              </a:extLst>
            </xdr:cNvPr>
            <xdr:cNvPicPr>
              <a:picLocks/>
              <a:extLst>
                <a:ext uri="{84589F7E-364E-4C9E-8A38-B11213B215E9}">
                  <a14:cameraTool cellRange="logo9" spid="_x0000_s42695"/>
                </a:ext>
              </a:extLst>
            </xdr:cNvPicPr>
          </xdr:nvPicPr>
          <xdr:blipFill>
            <a:blip xmlns:r="http://schemas.openxmlformats.org/officeDocument/2006/relationships" r:embed="rId3"/>
            <a:stretch>
              <a:fillRect/>
            </a:stretch>
          </xdr:blipFill>
          <xdr:spPr>
            <a:xfrm>
              <a:off x="12245228" y="6093198"/>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53590</xdr:colOff>
          <xdr:row>21</xdr:row>
          <xdr:rowOff>17079</xdr:rowOff>
        </xdr:from>
        <xdr:to>
          <xdr:col>10</xdr:col>
          <xdr:colOff>1360390</xdr:colOff>
          <xdr:row>21</xdr:row>
          <xdr:rowOff>1068279</xdr:rowOff>
        </xdr:to>
        <xdr:pic>
          <xdr:nvPicPr>
            <xdr:cNvPr id="29" name="Рисунок 28">
              <a:extLst>
                <a:ext uri="{FF2B5EF4-FFF2-40B4-BE49-F238E27FC236}">
                  <a16:creationId xmlns:a16="http://schemas.microsoft.com/office/drawing/2014/main" id="{C06679F0-31F3-4CEC-810B-49B99434AD19}"/>
                </a:ext>
              </a:extLst>
            </xdr:cNvPr>
            <xdr:cNvPicPr>
              <a:picLocks/>
              <a:extLst>
                <a:ext uri="{84589F7E-364E-4C9E-8A38-B11213B215E9}">
                  <a14:cameraTool cellRange="logo10" spid="_x0000_s42696"/>
                </a:ext>
              </a:extLst>
            </xdr:cNvPicPr>
          </xdr:nvPicPr>
          <xdr:blipFill>
            <a:blip xmlns:r="http://schemas.openxmlformats.org/officeDocument/2006/relationships" r:embed="rId4"/>
            <a:stretch>
              <a:fillRect/>
            </a:stretch>
          </xdr:blipFill>
          <xdr:spPr>
            <a:xfrm>
              <a:off x="8102215" y="8661017"/>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53592</xdr:colOff>
          <xdr:row>21</xdr:row>
          <xdr:rowOff>18351</xdr:rowOff>
        </xdr:from>
        <xdr:to>
          <xdr:col>11</xdr:col>
          <xdr:colOff>1360392</xdr:colOff>
          <xdr:row>21</xdr:row>
          <xdr:rowOff>1069551</xdr:rowOff>
        </xdr:to>
        <xdr:pic>
          <xdr:nvPicPr>
            <xdr:cNvPr id="31" name="Рисунок 30">
              <a:extLst>
                <a:ext uri="{FF2B5EF4-FFF2-40B4-BE49-F238E27FC236}">
                  <a16:creationId xmlns:a16="http://schemas.microsoft.com/office/drawing/2014/main" id="{FE890308-C481-435C-8C31-A855A876B822}"/>
                </a:ext>
              </a:extLst>
            </xdr:cNvPr>
            <xdr:cNvPicPr>
              <a:picLocks/>
              <a:extLst>
                <a:ext uri="{84589F7E-364E-4C9E-8A38-B11213B215E9}">
                  <a14:cameraTool cellRange="logo11" spid="_x0000_s42697"/>
                </a:ext>
              </a:extLst>
            </xdr:cNvPicPr>
          </xdr:nvPicPr>
          <xdr:blipFill>
            <a:blip xmlns:r="http://schemas.openxmlformats.org/officeDocument/2006/relationships" r:embed="rId4"/>
            <a:stretch>
              <a:fillRect/>
            </a:stretch>
          </xdr:blipFill>
          <xdr:spPr>
            <a:xfrm>
              <a:off x="9483342" y="8233664"/>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41321</xdr:colOff>
          <xdr:row>21</xdr:row>
          <xdr:rowOff>20487</xdr:rowOff>
        </xdr:from>
        <xdr:to>
          <xdr:col>12</xdr:col>
          <xdr:colOff>1348121</xdr:colOff>
          <xdr:row>21</xdr:row>
          <xdr:rowOff>1071687</xdr:rowOff>
        </xdr:to>
        <xdr:pic>
          <xdr:nvPicPr>
            <xdr:cNvPr id="33" name="Рисунок 32">
              <a:extLst>
                <a:ext uri="{FF2B5EF4-FFF2-40B4-BE49-F238E27FC236}">
                  <a16:creationId xmlns:a16="http://schemas.microsoft.com/office/drawing/2014/main" id="{987307C9-873B-41CD-A696-2D7B17189466}"/>
                </a:ext>
              </a:extLst>
            </xdr:cNvPr>
            <xdr:cNvPicPr>
              <a:picLocks/>
              <a:extLst>
                <a:ext uri="{84589F7E-364E-4C9E-8A38-B11213B215E9}">
                  <a14:cameraTool cellRange="logo12" spid="_x0000_s42698"/>
                </a:ext>
              </a:extLst>
            </xdr:cNvPicPr>
          </xdr:nvPicPr>
          <xdr:blipFill>
            <a:blip xmlns:r="http://schemas.openxmlformats.org/officeDocument/2006/relationships" r:embed="rId4"/>
            <a:stretch>
              <a:fillRect/>
            </a:stretch>
          </xdr:blipFill>
          <xdr:spPr>
            <a:xfrm>
              <a:off x="10852196" y="8235800"/>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63734</xdr:colOff>
          <xdr:row>21</xdr:row>
          <xdr:rowOff>16057</xdr:rowOff>
        </xdr:from>
        <xdr:to>
          <xdr:col>13</xdr:col>
          <xdr:colOff>1370534</xdr:colOff>
          <xdr:row>21</xdr:row>
          <xdr:rowOff>1068538</xdr:rowOff>
        </xdr:to>
        <xdr:pic>
          <xdr:nvPicPr>
            <xdr:cNvPr id="35" name="Рисунок 34">
              <a:extLst>
                <a:ext uri="{FF2B5EF4-FFF2-40B4-BE49-F238E27FC236}">
                  <a16:creationId xmlns:a16="http://schemas.microsoft.com/office/drawing/2014/main" id="{123483E0-219C-404A-B1CC-E51111761F78}"/>
                </a:ext>
              </a:extLst>
            </xdr:cNvPr>
            <xdr:cNvPicPr>
              <a:picLocks/>
              <a:extLst>
                <a:ext uri="{84589F7E-364E-4C9E-8A38-B11213B215E9}">
                  <a14:cameraTool cellRange="logo13" spid="_x0000_s42699"/>
                </a:ext>
              </a:extLst>
            </xdr:cNvPicPr>
          </xdr:nvPicPr>
          <xdr:blipFill>
            <a:blip xmlns:r="http://schemas.openxmlformats.org/officeDocument/2006/relationships" r:embed="rId4"/>
            <a:stretch>
              <a:fillRect/>
            </a:stretch>
          </xdr:blipFill>
          <xdr:spPr>
            <a:xfrm>
              <a:off x="12255734" y="8231370"/>
              <a:ext cx="1306800" cy="1052481"/>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56029</xdr:colOff>
          <xdr:row>27</xdr:row>
          <xdr:rowOff>18740</xdr:rowOff>
        </xdr:from>
        <xdr:to>
          <xdr:col>10</xdr:col>
          <xdr:colOff>1362829</xdr:colOff>
          <xdr:row>27</xdr:row>
          <xdr:rowOff>1069940</xdr:rowOff>
        </xdr:to>
        <xdr:pic>
          <xdr:nvPicPr>
            <xdr:cNvPr id="37" name="Рисунок 36">
              <a:extLst>
                <a:ext uri="{FF2B5EF4-FFF2-40B4-BE49-F238E27FC236}">
                  <a16:creationId xmlns:a16="http://schemas.microsoft.com/office/drawing/2014/main" id="{2CA2949D-8C3C-4AD3-B814-806D5F10E45D}"/>
                </a:ext>
              </a:extLst>
            </xdr:cNvPr>
            <xdr:cNvPicPr>
              <a:picLocks/>
              <a:extLst>
                <a:ext uri="{84589F7E-364E-4C9E-8A38-B11213B215E9}">
                  <a14:cameraTool cellRange="logo14" spid="_x0000_s42700"/>
                </a:ext>
              </a:extLst>
            </xdr:cNvPicPr>
          </xdr:nvPicPr>
          <xdr:blipFill>
            <a:blip xmlns:r="http://schemas.openxmlformats.org/officeDocument/2006/relationships" r:embed="rId4"/>
            <a:stretch>
              <a:fillRect/>
            </a:stretch>
          </xdr:blipFill>
          <xdr:spPr>
            <a:xfrm>
              <a:off x="7985592" y="10567678"/>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61876</xdr:colOff>
          <xdr:row>27</xdr:row>
          <xdr:rowOff>16428</xdr:rowOff>
        </xdr:from>
        <xdr:to>
          <xdr:col>11</xdr:col>
          <xdr:colOff>1368676</xdr:colOff>
          <xdr:row>27</xdr:row>
          <xdr:rowOff>1067628</xdr:rowOff>
        </xdr:to>
        <xdr:pic>
          <xdr:nvPicPr>
            <xdr:cNvPr id="39" name="Рисунок 38">
              <a:extLst>
                <a:ext uri="{FF2B5EF4-FFF2-40B4-BE49-F238E27FC236}">
                  <a16:creationId xmlns:a16="http://schemas.microsoft.com/office/drawing/2014/main" id="{17762B02-B660-44B8-A863-1126B4344ED6}"/>
                </a:ext>
              </a:extLst>
            </xdr:cNvPr>
            <xdr:cNvPicPr>
              <a:picLocks/>
              <a:extLst>
                <a:ext uri="{84589F7E-364E-4C9E-8A38-B11213B215E9}">
                  <a14:cameraTool cellRange="logo15" spid="_x0000_s42701"/>
                </a:ext>
              </a:extLst>
            </xdr:cNvPicPr>
          </xdr:nvPicPr>
          <xdr:blipFill>
            <a:blip xmlns:r="http://schemas.openxmlformats.org/officeDocument/2006/relationships" r:embed="rId4"/>
            <a:stretch>
              <a:fillRect/>
            </a:stretch>
          </xdr:blipFill>
          <xdr:spPr>
            <a:xfrm>
              <a:off x="9495767" y="10361406"/>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41238</xdr:colOff>
          <xdr:row>27</xdr:row>
          <xdr:rowOff>25333</xdr:rowOff>
        </xdr:from>
        <xdr:to>
          <xdr:col>12</xdr:col>
          <xdr:colOff>1348038</xdr:colOff>
          <xdr:row>27</xdr:row>
          <xdr:rowOff>1078086</xdr:rowOff>
        </xdr:to>
        <xdr:pic>
          <xdr:nvPicPr>
            <xdr:cNvPr id="41" name="Рисунок 40">
              <a:extLst>
                <a:ext uri="{FF2B5EF4-FFF2-40B4-BE49-F238E27FC236}">
                  <a16:creationId xmlns:a16="http://schemas.microsoft.com/office/drawing/2014/main" id="{2DB6B3E7-6240-4CBF-99F5-17A49A34D928}"/>
                </a:ext>
              </a:extLst>
            </xdr:cNvPr>
            <xdr:cNvPicPr>
              <a:picLocks/>
              <a:extLst>
                <a:ext uri="{84589F7E-364E-4C9E-8A38-B11213B215E9}">
                  <a14:cameraTool cellRange="logo16" spid="_x0000_s42702"/>
                </a:ext>
              </a:extLst>
            </xdr:cNvPicPr>
          </xdr:nvPicPr>
          <xdr:blipFill>
            <a:blip xmlns:r="http://schemas.openxmlformats.org/officeDocument/2006/relationships" r:embed="rId4"/>
            <a:stretch>
              <a:fillRect/>
            </a:stretch>
          </xdr:blipFill>
          <xdr:spPr>
            <a:xfrm>
              <a:off x="10858325" y="10370311"/>
              <a:ext cx="1306800" cy="1052753"/>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42020</xdr:colOff>
          <xdr:row>27</xdr:row>
          <xdr:rowOff>22410</xdr:rowOff>
        </xdr:from>
        <xdr:to>
          <xdr:col>13</xdr:col>
          <xdr:colOff>1348820</xdr:colOff>
          <xdr:row>27</xdr:row>
          <xdr:rowOff>1073610</xdr:rowOff>
        </xdr:to>
        <xdr:pic>
          <xdr:nvPicPr>
            <xdr:cNvPr id="43" name="Рисунок 42">
              <a:extLst>
                <a:ext uri="{FF2B5EF4-FFF2-40B4-BE49-F238E27FC236}">
                  <a16:creationId xmlns:a16="http://schemas.microsoft.com/office/drawing/2014/main" id="{97EC7550-2B87-4533-8E4A-785A99D4000F}"/>
                </a:ext>
              </a:extLst>
            </xdr:cNvPr>
            <xdr:cNvPicPr>
              <a:picLocks/>
              <a:extLst>
                <a:ext uri="{84589F7E-364E-4C9E-8A38-B11213B215E9}">
                  <a14:cameraTool cellRange="logo17" spid="_x0000_s42703"/>
                </a:ext>
              </a:extLst>
            </xdr:cNvPicPr>
          </xdr:nvPicPr>
          <xdr:blipFill>
            <a:blip xmlns:r="http://schemas.openxmlformats.org/officeDocument/2006/relationships" r:embed="rId5"/>
            <a:stretch>
              <a:fillRect/>
            </a:stretch>
          </xdr:blipFill>
          <xdr:spPr>
            <a:xfrm>
              <a:off x="12114958" y="10571348"/>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58430</xdr:colOff>
          <xdr:row>33</xdr:row>
          <xdr:rowOff>28112</xdr:rowOff>
        </xdr:from>
        <xdr:to>
          <xdr:col>10</xdr:col>
          <xdr:colOff>1365230</xdr:colOff>
          <xdr:row>33</xdr:row>
          <xdr:rowOff>1079312</xdr:rowOff>
        </xdr:to>
        <xdr:pic>
          <xdr:nvPicPr>
            <xdr:cNvPr id="45" name="Рисунок 44">
              <a:extLst>
                <a:ext uri="{FF2B5EF4-FFF2-40B4-BE49-F238E27FC236}">
                  <a16:creationId xmlns:a16="http://schemas.microsoft.com/office/drawing/2014/main" id="{097D3C15-B342-4BB9-9760-8A53EC696027}"/>
                </a:ext>
              </a:extLst>
            </xdr:cNvPr>
            <xdr:cNvPicPr>
              <a:picLocks/>
              <a:extLst>
                <a:ext uri="{84589F7E-364E-4C9E-8A38-B11213B215E9}">
                  <a14:cameraTool cellRange="logo18" spid="_x0000_s42704"/>
                </a:ext>
              </a:extLst>
            </xdr:cNvPicPr>
          </xdr:nvPicPr>
          <xdr:blipFill>
            <a:blip xmlns:r="http://schemas.openxmlformats.org/officeDocument/2006/relationships" r:embed="rId6"/>
            <a:stretch>
              <a:fillRect/>
            </a:stretch>
          </xdr:blipFill>
          <xdr:spPr>
            <a:xfrm>
              <a:off x="8120044" y="12514521"/>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44821</xdr:colOff>
          <xdr:row>33</xdr:row>
          <xdr:rowOff>18422</xdr:rowOff>
        </xdr:from>
        <xdr:to>
          <xdr:col>11</xdr:col>
          <xdr:colOff>1351621</xdr:colOff>
          <xdr:row>33</xdr:row>
          <xdr:rowOff>1069622</xdr:rowOff>
        </xdr:to>
        <xdr:pic>
          <xdr:nvPicPr>
            <xdr:cNvPr id="47" name="Рисунок 46">
              <a:extLst>
                <a:ext uri="{FF2B5EF4-FFF2-40B4-BE49-F238E27FC236}">
                  <a16:creationId xmlns:a16="http://schemas.microsoft.com/office/drawing/2014/main" id="{536D360C-68F7-4C5D-A2DD-46E02E3FDF02}"/>
                </a:ext>
              </a:extLst>
            </xdr:cNvPr>
            <xdr:cNvPicPr>
              <a:picLocks/>
              <a:extLst>
                <a:ext uri="{84589F7E-364E-4C9E-8A38-B11213B215E9}">
                  <a14:cameraTool cellRange="logo19" spid="_x0000_s42705"/>
                </a:ext>
              </a:extLst>
            </xdr:cNvPicPr>
          </xdr:nvPicPr>
          <xdr:blipFill>
            <a:blip xmlns:r="http://schemas.openxmlformats.org/officeDocument/2006/relationships" r:embed="rId6"/>
            <a:stretch>
              <a:fillRect/>
            </a:stretch>
          </xdr:blipFill>
          <xdr:spPr>
            <a:xfrm>
              <a:off x="9355509" y="12912891"/>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44824</xdr:colOff>
          <xdr:row>33</xdr:row>
          <xdr:rowOff>25330</xdr:rowOff>
        </xdr:from>
        <xdr:to>
          <xdr:col>12</xdr:col>
          <xdr:colOff>1351624</xdr:colOff>
          <xdr:row>33</xdr:row>
          <xdr:rowOff>1075764</xdr:rowOff>
        </xdr:to>
        <xdr:pic>
          <xdr:nvPicPr>
            <xdr:cNvPr id="49" name="Рисунок 48">
              <a:extLst>
                <a:ext uri="{FF2B5EF4-FFF2-40B4-BE49-F238E27FC236}">
                  <a16:creationId xmlns:a16="http://schemas.microsoft.com/office/drawing/2014/main" id="{3C0893CD-2D0D-4395-A5D2-D58277B02A84}"/>
                </a:ext>
              </a:extLst>
            </xdr:cNvPr>
            <xdr:cNvPicPr>
              <a:picLocks/>
              <a:extLst>
                <a:ext uri="{84589F7E-364E-4C9E-8A38-B11213B215E9}">
                  <a14:cameraTool cellRange="logo20" spid="_x0000_s42706"/>
                </a:ext>
              </a:extLst>
            </xdr:cNvPicPr>
          </xdr:nvPicPr>
          <xdr:blipFill>
            <a:blip xmlns:r="http://schemas.openxmlformats.org/officeDocument/2006/relationships" r:embed="rId6"/>
            <a:stretch>
              <a:fillRect/>
            </a:stretch>
          </xdr:blipFill>
          <xdr:spPr>
            <a:xfrm>
              <a:off x="10736637" y="12919799"/>
              <a:ext cx="1306800" cy="105043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50498</xdr:colOff>
          <xdr:row>33</xdr:row>
          <xdr:rowOff>19489</xdr:rowOff>
        </xdr:from>
        <xdr:to>
          <xdr:col>13</xdr:col>
          <xdr:colOff>1357298</xdr:colOff>
          <xdr:row>33</xdr:row>
          <xdr:rowOff>1070689</xdr:rowOff>
        </xdr:to>
        <xdr:pic>
          <xdr:nvPicPr>
            <xdr:cNvPr id="51" name="Рисунок 50">
              <a:extLst>
                <a:ext uri="{FF2B5EF4-FFF2-40B4-BE49-F238E27FC236}">
                  <a16:creationId xmlns:a16="http://schemas.microsoft.com/office/drawing/2014/main" id="{1938F560-EAB5-4808-9F3B-8CD830E4D083}"/>
                </a:ext>
              </a:extLst>
            </xdr:cNvPr>
            <xdr:cNvPicPr>
              <a:picLocks/>
              <a:extLst>
                <a:ext uri="{84589F7E-364E-4C9E-8A38-B11213B215E9}">
                  <a14:cameraTool cellRange="logo21" spid="_x0000_s42707"/>
                </a:ext>
              </a:extLst>
            </xdr:cNvPicPr>
          </xdr:nvPicPr>
          <xdr:blipFill>
            <a:blip xmlns:r="http://schemas.openxmlformats.org/officeDocument/2006/relationships" r:embed="rId6"/>
            <a:stretch>
              <a:fillRect/>
            </a:stretch>
          </xdr:blipFill>
          <xdr:spPr>
            <a:xfrm>
              <a:off x="12250781" y="12526228"/>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44822</xdr:colOff>
          <xdr:row>39</xdr:row>
          <xdr:rowOff>13671</xdr:rowOff>
        </xdr:from>
        <xdr:to>
          <xdr:col>10</xdr:col>
          <xdr:colOff>1351622</xdr:colOff>
          <xdr:row>39</xdr:row>
          <xdr:rowOff>1064871</xdr:rowOff>
        </xdr:to>
        <xdr:pic>
          <xdr:nvPicPr>
            <xdr:cNvPr id="53" name="Рисунок 52">
              <a:extLst>
                <a:ext uri="{FF2B5EF4-FFF2-40B4-BE49-F238E27FC236}">
                  <a16:creationId xmlns:a16="http://schemas.microsoft.com/office/drawing/2014/main" id="{2547E2FD-A871-4B62-B2BB-188E749E3EE5}"/>
                </a:ext>
              </a:extLst>
            </xdr:cNvPr>
            <xdr:cNvPicPr>
              <a:picLocks/>
              <a:extLst>
                <a:ext uri="{84589F7E-364E-4C9E-8A38-B11213B215E9}">
                  <a14:cameraTool cellRange="logo22" spid="_x0000_s42708"/>
                </a:ext>
              </a:extLst>
            </xdr:cNvPicPr>
          </xdr:nvPicPr>
          <xdr:blipFill>
            <a:blip xmlns:r="http://schemas.openxmlformats.org/officeDocument/2006/relationships" r:embed="rId6"/>
            <a:stretch>
              <a:fillRect/>
            </a:stretch>
          </xdr:blipFill>
          <xdr:spPr>
            <a:xfrm>
              <a:off x="7974385" y="15241765"/>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47747</xdr:colOff>
          <xdr:row>39</xdr:row>
          <xdr:rowOff>27635</xdr:rowOff>
        </xdr:from>
        <xdr:to>
          <xdr:col>11</xdr:col>
          <xdr:colOff>1354547</xdr:colOff>
          <xdr:row>39</xdr:row>
          <xdr:rowOff>1078194</xdr:rowOff>
        </xdr:to>
        <xdr:pic>
          <xdr:nvPicPr>
            <xdr:cNvPr id="55" name="Рисунок 54">
              <a:extLst>
                <a:ext uri="{FF2B5EF4-FFF2-40B4-BE49-F238E27FC236}">
                  <a16:creationId xmlns:a16="http://schemas.microsoft.com/office/drawing/2014/main" id="{CEC1F27F-A961-473A-A6AD-F95475FC1867}"/>
                </a:ext>
              </a:extLst>
            </xdr:cNvPr>
            <xdr:cNvPicPr>
              <a:picLocks/>
              <a:extLst>
                <a:ext uri="{84589F7E-364E-4C9E-8A38-B11213B215E9}">
                  <a14:cameraTool cellRange="logo23" spid="_x0000_s42709"/>
                </a:ext>
              </a:extLst>
            </xdr:cNvPicPr>
          </xdr:nvPicPr>
          <xdr:blipFill>
            <a:blip xmlns:r="http://schemas.openxmlformats.org/officeDocument/2006/relationships" r:embed="rId6"/>
            <a:stretch>
              <a:fillRect/>
            </a:stretch>
          </xdr:blipFill>
          <xdr:spPr>
            <a:xfrm>
              <a:off x="9481638" y="14687852"/>
              <a:ext cx="1306800" cy="1050559"/>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55368</xdr:colOff>
          <xdr:row>39</xdr:row>
          <xdr:rowOff>25333</xdr:rowOff>
        </xdr:from>
        <xdr:to>
          <xdr:col>12</xdr:col>
          <xdr:colOff>1362168</xdr:colOff>
          <xdr:row>39</xdr:row>
          <xdr:rowOff>1078086</xdr:rowOff>
        </xdr:to>
        <xdr:pic>
          <xdr:nvPicPr>
            <xdr:cNvPr id="57" name="Рисунок 56">
              <a:extLst>
                <a:ext uri="{FF2B5EF4-FFF2-40B4-BE49-F238E27FC236}">
                  <a16:creationId xmlns:a16="http://schemas.microsoft.com/office/drawing/2014/main" id="{0B15682E-9A93-41DC-A493-6E722D445960}"/>
                </a:ext>
              </a:extLst>
            </xdr:cNvPr>
            <xdr:cNvPicPr>
              <a:picLocks/>
              <a:extLst>
                <a:ext uri="{84589F7E-364E-4C9E-8A38-B11213B215E9}">
                  <a14:cameraTool cellRange="logo24" spid="_x0000_s42710"/>
                </a:ext>
              </a:extLst>
            </xdr:cNvPicPr>
          </xdr:nvPicPr>
          <xdr:blipFill>
            <a:blip xmlns:r="http://schemas.openxmlformats.org/officeDocument/2006/relationships" r:embed="rId6"/>
            <a:stretch>
              <a:fillRect/>
            </a:stretch>
          </xdr:blipFill>
          <xdr:spPr>
            <a:xfrm>
              <a:off x="10872455" y="14685550"/>
              <a:ext cx="1306800" cy="1052753"/>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46873</xdr:colOff>
          <xdr:row>39</xdr:row>
          <xdr:rowOff>25333</xdr:rowOff>
        </xdr:from>
        <xdr:to>
          <xdr:col>13</xdr:col>
          <xdr:colOff>1353673</xdr:colOff>
          <xdr:row>39</xdr:row>
          <xdr:rowOff>1078086</xdr:rowOff>
        </xdr:to>
        <xdr:pic>
          <xdr:nvPicPr>
            <xdr:cNvPr id="59" name="Рисунок 58">
              <a:extLst>
                <a:ext uri="{FF2B5EF4-FFF2-40B4-BE49-F238E27FC236}">
                  <a16:creationId xmlns:a16="http://schemas.microsoft.com/office/drawing/2014/main" id="{CE3FE266-EAC3-42EC-B80A-3C412738C2FA}"/>
                </a:ext>
              </a:extLst>
            </xdr:cNvPr>
            <xdr:cNvPicPr>
              <a:picLocks/>
              <a:extLst>
                <a:ext uri="{84589F7E-364E-4C9E-8A38-B11213B215E9}">
                  <a14:cameraTool cellRange="logo25" spid="_x0000_s42711"/>
                </a:ext>
              </a:extLst>
            </xdr:cNvPicPr>
          </xdr:nvPicPr>
          <xdr:blipFill>
            <a:blip xmlns:r="http://schemas.openxmlformats.org/officeDocument/2006/relationships" r:embed="rId6"/>
            <a:stretch>
              <a:fillRect/>
            </a:stretch>
          </xdr:blipFill>
          <xdr:spPr>
            <a:xfrm>
              <a:off x="12247156" y="14685550"/>
              <a:ext cx="1306800" cy="1052753"/>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37199</xdr:colOff>
          <xdr:row>9</xdr:row>
          <xdr:rowOff>24376</xdr:rowOff>
        </xdr:from>
        <xdr:to>
          <xdr:col>14</xdr:col>
          <xdr:colOff>1343999</xdr:colOff>
          <xdr:row>9</xdr:row>
          <xdr:rowOff>1075576</xdr:rowOff>
        </xdr:to>
        <xdr:pic>
          <xdr:nvPicPr>
            <xdr:cNvPr id="16" name="Рисунок 15">
              <a:extLst>
                <a:ext uri="{FF2B5EF4-FFF2-40B4-BE49-F238E27FC236}">
                  <a16:creationId xmlns:a16="http://schemas.microsoft.com/office/drawing/2014/main" id="{678D7B57-DDE9-425C-90CC-0D73E430E5AC}"/>
                </a:ext>
              </a:extLst>
            </xdr:cNvPr>
            <xdr:cNvPicPr>
              <a:picLocks/>
              <a:extLst>
                <a:ext uri="{84589F7E-364E-4C9E-8A38-B11213B215E9}">
                  <a14:cameraTool cellRange="logo777" spid="_x0000_s42712"/>
                </a:ext>
              </a:extLst>
            </xdr:cNvPicPr>
          </xdr:nvPicPr>
          <xdr:blipFill>
            <a:blip xmlns:r="http://schemas.openxmlformats.org/officeDocument/2006/relationships" r:embed="rId7"/>
            <a:stretch>
              <a:fillRect/>
            </a:stretch>
          </xdr:blipFill>
          <xdr:spPr>
            <a:xfrm>
              <a:off x="13610324" y="3536720"/>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48661</xdr:colOff>
          <xdr:row>15</xdr:row>
          <xdr:rowOff>35719</xdr:rowOff>
        </xdr:from>
        <xdr:to>
          <xdr:col>14</xdr:col>
          <xdr:colOff>1355461</xdr:colOff>
          <xdr:row>16</xdr:row>
          <xdr:rowOff>3449</xdr:rowOff>
        </xdr:to>
        <xdr:pic>
          <xdr:nvPicPr>
            <xdr:cNvPr id="20" name="Рисунок 19">
              <a:extLst>
                <a:ext uri="{FF2B5EF4-FFF2-40B4-BE49-F238E27FC236}">
                  <a16:creationId xmlns:a16="http://schemas.microsoft.com/office/drawing/2014/main" id="{1C93496C-2010-4B60-9EE2-FEC5FC775F8D}"/>
                </a:ext>
              </a:extLst>
            </xdr:cNvPr>
            <xdr:cNvPicPr>
              <a:picLocks/>
              <a:extLst>
                <a:ext uri="{84589F7E-364E-4C9E-8A38-B11213B215E9}">
                  <a14:cameraTool cellRange="logo888" spid="_x0000_s42713"/>
                </a:ext>
              </a:extLst>
            </xdr:cNvPicPr>
          </xdr:nvPicPr>
          <xdr:blipFill>
            <a:blip xmlns:r="http://schemas.openxmlformats.org/officeDocument/2006/relationships" r:embed="rId7"/>
            <a:stretch>
              <a:fillRect/>
            </a:stretch>
          </xdr:blipFill>
          <xdr:spPr>
            <a:xfrm>
              <a:off x="13621786" y="6107907"/>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52284</xdr:colOff>
          <xdr:row>21</xdr:row>
          <xdr:rowOff>23811</xdr:rowOff>
        </xdr:from>
        <xdr:to>
          <xdr:col>14</xdr:col>
          <xdr:colOff>1359084</xdr:colOff>
          <xdr:row>21</xdr:row>
          <xdr:rowOff>1075011</xdr:rowOff>
        </xdr:to>
        <xdr:pic>
          <xdr:nvPicPr>
            <xdr:cNvPr id="24" name="Рисунок 23">
              <a:extLst>
                <a:ext uri="{FF2B5EF4-FFF2-40B4-BE49-F238E27FC236}">
                  <a16:creationId xmlns:a16="http://schemas.microsoft.com/office/drawing/2014/main" id="{49B880BF-3B83-4EF6-AF87-05BBBFF64D57}"/>
                </a:ext>
              </a:extLst>
            </xdr:cNvPr>
            <xdr:cNvPicPr>
              <a:picLocks/>
              <a:extLst>
                <a:ext uri="{84589F7E-364E-4C9E-8A38-B11213B215E9}">
                  <a14:cameraTool cellRange="logo999" spid="_x0000_s42714"/>
                </a:ext>
              </a:extLst>
            </xdr:cNvPicPr>
          </xdr:nvPicPr>
          <xdr:blipFill>
            <a:blip xmlns:r="http://schemas.openxmlformats.org/officeDocument/2006/relationships" r:embed="rId7"/>
            <a:stretch>
              <a:fillRect/>
            </a:stretch>
          </xdr:blipFill>
          <xdr:spPr>
            <a:xfrm>
              <a:off x="13625409" y="8239124"/>
              <a:ext cx="1306800"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51247</xdr:colOff>
          <xdr:row>27</xdr:row>
          <xdr:rowOff>27436</xdr:rowOff>
        </xdr:from>
        <xdr:to>
          <xdr:col>14</xdr:col>
          <xdr:colOff>1358047</xdr:colOff>
          <xdr:row>27</xdr:row>
          <xdr:rowOff>1080189</xdr:rowOff>
        </xdr:to>
        <xdr:pic>
          <xdr:nvPicPr>
            <xdr:cNvPr id="27" name="Рисунок 26">
              <a:extLst>
                <a:ext uri="{FF2B5EF4-FFF2-40B4-BE49-F238E27FC236}">
                  <a16:creationId xmlns:a16="http://schemas.microsoft.com/office/drawing/2014/main" id="{A6B86D0A-5927-488C-80F2-E56939BEDABA}"/>
                </a:ext>
              </a:extLst>
            </xdr:cNvPr>
            <xdr:cNvPicPr>
              <a:picLocks/>
              <a:extLst>
                <a:ext uri="{84589F7E-364E-4C9E-8A38-B11213B215E9}">
                  <a14:cameraTool cellRange="logo1000" spid="_x0000_s42715"/>
                </a:ext>
              </a:extLst>
            </xdr:cNvPicPr>
          </xdr:nvPicPr>
          <xdr:blipFill>
            <a:blip xmlns:r="http://schemas.openxmlformats.org/officeDocument/2006/relationships" r:embed="rId8"/>
            <a:stretch>
              <a:fillRect/>
            </a:stretch>
          </xdr:blipFill>
          <xdr:spPr>
            <a:xfrm>
              <a:off x="13634725" y="10372414"/>
              <a:ext cx="1306800" cy="1052753"/>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59530</xdr:colOff>
          <xdr:row>33</xdr:row>
          <xdr:rowOff>23811</xdr:rowOff>
        </xdr:from>
        <xdr:to>
          <xdr:col>14</xdr:col>
          <xdr:colOff>1364455</xdr:colOff>
          <xdr:row>33</xdr:row>
          <xdr:rowOff>1075011</xdr:rowOff>
        </xdr:to>
        <xdr:pic>
          <xdr:nvPicPr>
            <xdr:cNvPr id="30" name="Рисунок 29">
              <a:extLst>
                <a:ext uri="{FF2B5EF4-FFF2-40B4-BE49-F238E27FC236}">
                  <a16:creationId xmlns:a16="http://schemas.microsoft.com/office/drawing/2014/main" id="{B0F4D825-76E2-4269-AF48-AF85EF355565}"/>
                </a:ext>
              </a:extLst>
            </xdr:cNvPr>
            <xdr:cNvPicPr>
              <a:picLocks/>
              <a:extLst>
                <a:ext uri="{84589F7E-364E-4C9E-8A38-B11213B215E9}">
                  <a14:cameraTool cellRange="logo2000" spid="_x0000_s42716"/>
                </a:ext>
              </a:extLst>
            </xdr:cNvPicPr>
          </xdr:nvPicPr>
          <xdr:blipFill>
            <a:blip xmlns:r="http://schemas.openxmlformats.org/officeDocument/2006/relationships" r:embed="rId7"/>
            <a:stretch>
              <a:fillRect/>
            </a:stretch>
          </xdr:blipFill>
          <xdr:spPr>
            <a:xfrm>
              <a:off x="13513593" y="12918280"/>
              <a:ext cx="1304925" cy="10512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35718</xdr:colOff>
          <xdr:row>39</xdr:row>
          <xdr:rowOff>23810</xdr:rowOff>
        </xdr:from>
        <xdr:to>
          <xdr:col>14</xdr:col>
          <xdr:colOff>1342518</xdr:colOff>
          <xdr:row>39</xdr:row>
          <xdr:rowOff>1075010</xdr:rowOff>
        </xdr:to>
        <xdr:pic>
          <xdr:nvPicPr>
            <xdr:cNvPr id="34" name="Рисунок 33">
              <a:extLst>
                <a:ext uri="{FF2B5EF4-FFF2-40B4-BE49-F238E27FC236}">
                  <a16:creationId xmlns:a16="http://schemas.microsoft.com/office/drawing/2014/main" id="{0018596C-99C4-4FD3-96E3-9920FB9DC378}"/>
                </a:ext>
              </a:extLst>
            </xdr:cNvPr>
            <xdr:cNvPicPr>
              <a:picLocks/>
              <a:extLst>
                <a:ext uri="{84589F7E-364E-4C9E-8A38-B11213B215E9}">
                  <a14:cameraTool cellRange="logo3000" spid="_x0000_s42717"/>
                </a:ext>
              </a:extLst>
            </xdr:cNvPicPr>
          </xdr:nvPicPr>
          <xdr:blipFill>
            <a:blip xmlns:r="http://schemas.openxmlformats.org/officeDocument/2006/relationships" r:embed="rId7"/>
            <a:stretch>
              <a:fillRect/>
            </a:stretch>
          </xdr:blipFill>
          <xdr:spPr>
            <a:xfrm>
              <a:off x="13489781" y="15251904"/>
              <a:ext cx="1306800" cy="1051200"/>
            </a:xfrm>
            <a:prstGeom prst="rect">
              <a:avLst/>
            </a:prstGeom>
          </xdr:spPr>
        </xdr:pic>
        <xdr:clientData/>
      </xdr:twoCellAnchor>
    </mc:Choice>
    <mc:Fallback/>
  </mc:AlternateContent>
  <xdr:twoCellAnchor editAs="oneCell">
    <xdr:from>
      <xdr:col>6</xdr:col>
      <xdr:colOff>227918</xdr:colOff>
      <xdr:row>44</xdr:row>
      <xdr:rowOff>8845</xdr:rowOff>
    </xdr:from>
    <xdr:to>
      <xdr:col>14</xdr:col>
      <xdr:colOff>1358876</xdr:colOff>
      <xdr:row>61</xdr:row>
      <xdr:rowOff>39461</xdr:rowOff>
    </xdr:to>
    <xdr:pic>
      <xdr:nvPicPr>
        <xdr:cNvPr id="8" name="Рисунок 7">
          <a:extLst>
            <a:ext uri="{FF2B5EF4-FFF2-40B4-BE49-F238E27FC236}">
              <a16:creationId xmlns:a16="http://schemas.microsoft.com/office/drawing/2014/main" id="{C3CB1DDE-FCDA-4475-B86E-085A8DCCFD8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00561" y="17888631"/>
          <a:ext cx="10368507" cy="3269116"/>
        </a:xfrm>
        <a:prstGeom prst="rect">
          <a:avLst/>
        </a:prstGeom>
      </xdr:spPr>
    </xdr:pic>
    <xdr:clientData/>
  </xdr:twoCellAnchor>
  <xdr:twoCellAnchor editAs="oneCell">
    <xdr:from>
      <xdr:col>11</xdr:col>
      <xdr:colOff>33130</xdr:colOff>
      <xdr:row>3</xdr:row>
      <xdr:rowOff>339587</xdr:rowOff>
    </xdr:from>
    <xdr:to>
      <xdr:col>11</xdr:col>
      <xdr:colOff>1355892</xdr:colOff>
      <xdr:row>3</xdr:row>
      <xdr:rowOff>803413</xdr:rowOff>
    </xdr:to>
    <xdr:pic>
      <xdr:nvPicPr>
        <xdr:cNvPr id="22" name="Рисунок 21">
          <a:extLst>
            <a:ext uri="{FF2B5EF4-FFF2-40B4-BE49-F238E27FC236}">
              <a16:creationId xmlns:a16="http://schemas.microsoft.com/office/drawing/2014/main" id="{6127AA7B-6DB3-4437-B530-D00CD5EDA55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351065" y="1805609"/>
          <a:ext cx="1322762" cy="463826"/>
        </a:xfrm>
        <a:prstGeom prst="rect">
          <a:avLst/>
        </a:prstGeom>
      </xdr:spPr>
    </xdr:pic>
    <xdr:clientData/>
  </xdr:twoCellAnchor>
  <xdr:twoCellAnchor editAs="oneCell">
    <xdr:from>
      <xdr:col>10</xdr:col>
      <xdr:colOff>41415</xdr:colOff>
      <xdr:row>3</xdr:row>
      <xdr:rowOff>391871</xdr:rowOff>
    </xdr:from>
    <xdr:to>
      <xdr:col>10</xdr:col>
      <xdr:colOff>1297781</xdr:colOff>
      <xdr:row>3</xdr:row>
      <xdr:rowOff>824062</xdr:rowOff>
    </xdr:to>
    <xdr:pic>
      <xdr:nvPicPr>
        <xdr:cNvPr id="28" name="Рисунок 27">
          <a:extLst>
            <a:ext uri="{FF2B5EF4-FFF2-40B4-BE49-F238E27FC236}">
              <a16:creationId xmlns:a16="http://schemas.microsoft.com/office/drawing/2014/main" id="{A898C5E6-2A4A-4213-B925-BDF8EB3DBF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970978" y="1856340"/>
          <a:ext cx="1256366" cy="432191"/>
        </a:xfrm>
        <a:prstGeom prst="rect">
          <a:avLst/>
        </a:prstGeom>
      </xdr:spPr>
    </xdr:pic>
    <xdr:clientData/>
  </xdr:twoCellAnchor>
  <xdr:twoCellAnchor editAs="oneCell">
    <xdr:from>
      <xdr:col>13</xdr:col>
      <xdr:colOff>41414</xdr:colOff>
      <xdr:row>3</xdr:row>
      <xdr:rowOff>356348</xdr:rowOff>
    </xdr:from>
    <xdr:to>
      <xdr:col>13</xdr:col>
      <xdr:colOff>1333500</xdr:colOff>
      <xdr:row>3</xdr:row>
      <xdr:rowOff>769869</xdr:rowOff>
    </xdr:to>
    <xdr:pic>
      <xdr:nvPicPr>
        <xdr:cNvPr id="40" name="Рисунок 39">
          <a:extLst>
            <a:ext uri="{FF2B5EF4-FFF2-40B4-BE49-F238E27FC236}">
              <a16:creationId xmlns:a16="http://schemas.microsoft.com/office/drawing/2014/main" id="{10097974-43EA-44BC-A6B8-710FE0146F5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25740" y="1822370"/>
          <a:ext cx="1292086" cy="413521"/>
        </a:xfrm>
        <a:prstGeom prst="rect">
          <a:avLst/>
        </a:prstGeom>
      </xdr:spPr>
    </xdr:pic>
    <xdr:clientData/>
  </xdr:twoCellAnchor>
  <xdr:twoCellAnchor editAs="oneCell">
    <xdr:from>
      <xdr:col>12</xdr:col>
      <xdr:colOff>47625</xdr:colOff>
      <xdr:row>3</xdr:row>
      <xdr:rowOff>381793</xdr:rowOff>
    </xdr:from>
    <xdr:to>
      <xdr:col>12</xdr:col>
      <xdr:colOff>1317625</xdr:colOff>
      <xdr:row>3</xdr:row>
      <xdr:rowOff>860847</xdr:rowOff>
    </xdr:to>
    <xdr:pic>
      <xdr:nvPicPr>
        <xdr:cNvPr id="3" name="Рисунок 2">
          <a:extLst>
            <a:ext uri="{FF2B5EF4-FFF2-40B4-BE49-F238E27FC236}">
              <a16:creationId xmlns:a16="http://schemas.microsoft.com/office/drawing/2014/main" id="{CA2E5E6C-E261-4186-82AD-A7131B42DD1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858500" y="1850231"/>
          <a:ext cx="1270000" cy="479054"/>
        </a:xfrm>
        <a:prstGeom prst="rect">
          <a:avLst/>
        </a:prstGeom>
      </xdr:spPr>
    </xdr:pic>
    <xdr:clientData/>
  </xdr:twoCellAnchor>
  <xdr:twoCellAnchor editAs="oneCell">
    <xdr:from>
      <xdr:col>14</xdr:col>
      <xdr:colOff>24450</xdr:colOff>
      <xdr:row>3</xdr:row>
      <xdr:rowOff>496113</xdr:rowOff>
    </xdr:from>
    <xdr:to>
      <xdr:col>14</xdr:col>
      <xdr:colOff>1359477</xdr:colOff>
      <xdr:row>3</xdr:row>
      <xdr:rowOff>779719</xdr:rowOff>
    </xdr:to>
    <xdr:pic>
      <xdr:nvPicPr>
        <xdr:cNvPr id="4" name="Рисунок 3">
          <a:extLst>
            <a:ext uri="{FF2B5EF4-FFF2-40B4-BE49-F238E27FC236}">
              <a16:creationId xmlns:a16="http://schemas.microsoft.com/office/drawing/2014/main" id="{5A72EAD8-9961-433A-8371-50812088A21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627882" y="1959499"/>
          <a:ext cx="1335027" cy="283606"/>
        </a:xfrm>
        <a:prstGeom prst="rect">
          <a:avLst/>
        </a:prstGeom>
      </xdr:spPr>
    </xdr:pic>
    <xdr:clientData/>
  </xdr:twoCellAnchor>
  <xdr:twoCellAnchor>
    <xdr:from>
      <xdr:col>1</xdr:col>
      <xdr:colOff>142875</xdr:colOff>
      <xdr:row>21</xdr:row>
      <xdr:rowOff>27214</xdr:rowOff>
    </xdr:from>
    <xdr:to>
      <xdr:col>5</xdr:col>
      <xdr:colOff>112569</xdr:colOff>
      <xdr:row>39</xdr:row>
      <xdr:rowOff>554182</xdr:rowOff>
    </xdr:to>
    <xdr:sp macro="" textlink="">
      <xdr:nvSpPr>
        <xdr:cNvPr id="2" name="TextBox 1">
          <a:extLst>
            <a:ext uri="{FF2B5EF4-FFF2-40B4-BE49-F238E27FC236}">
              <a16:creationId xmlns:a16="http://schemas.microsoft.com/office/drawing/2014/main" id="{CB945388-340D-42A3-B030-6C6AA6D675EA}"/>
            </a:ext>
          </a:extLst>
        </xdr:cNvPr>
        <xdr:cNvSpPr txBox="1"/>
      </xdr:nvSpPr>
      <xdr:spPr>
        <a:xfrm>
          <a:off x="324716" y="8227373"/>
          <a:ext cx="4143376" cy="69866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Brief  manual</a:t>
          </a:r>
        </a:p>
        <a:p>
          <a:endParaRPr lang="en-US" sz="500" b="1"/>
        </a:p>
        <a:p>
          <a:r>
            <a:rPr lang="en-US" sz="1400"/>
            <a:t>1. Enter initial data into the gray cells:</a:t>
          </a:r>
        </a:p>
        <a:p>
          <a:r>
            <a:rPr lang="en-US" sz="1400"/>
            <a:t>    - heat loss is entered without a safety factor;</a:t>
          </a:r>
        </a:p>
        <a:p>
          <a:r>
            <a:rPr lang="en-US" sz="1400"/>
            <a:t>    - safety factor for electric heating systems is    recommended with the value of 1,3;</a:t>
          </a:r>
        </a:p>
        <a:p>
          <a:r>
            <a:rPr lang="en-US" sz="1400"/>
            <a:t>    - "Type of installation" determines the maximum output of one cable line for the chosen application.</a:t>
          </a:r>
        </a:p>
        <a:p>
          <a:endParaRPr lang="en-US" sz="800"/>
        </a:p>
        <a:p>
          <a:r>
            <a:rPr lang="en-US" sz="1400"/>
            <a:t>2. Some calculated parameters are shown in the yellow cells.</a:t>
          </a:r>
        </a:p>
        <a:p>
          <a:endParaRPr lang="en-US" sz="1000"/>
        </a:p>
        <a:p>
          <a:r>
            <a:rPr lang="en-US" sz="1400"/>
            <a:t>3. "Results table" is shown with cable selection options with different coupling diagrams and types of cable installation:</a:t>
          </a:r>
        </a:p>
        <a:p>
          <a:r>
            <a:rPr lang="en-US" sz="1400"/>
            <a:t>    - output tolerance of selection is -10%...+33%;</a:t>
          </a:r>
        </a:p>
        <a:p>
          <a:r>
            <a:rPr lang="en-US" sz="1400"/>
            <a:t>    - the cable values are calculated, depending on 3 connection types: </a:t>
          </a:r>
        </a:p>
        <a:p>
          <a:r>
            <a:rPr lang="en-US" sz="1400"/>
            <a:t>power supply to one cable side - marked "T" (twin), power supply to two cable sides - marked "S" (single), 3 phase - marked "Y" (Y-type).</a:t>
          </a:r>
        </a:p>
        <a:p>
          <a:endParaRPr lang="en-US" sz="1000"/>
        </a:p>
        <a:p>
          <a:r>
            <a:rPr lang="en-US" sz="1400"/>
            <a:t>4. The product code should be selected with Rx value (Ohm/m) - first column of the table "Results table".</a:t>
          </a:r>
        </a:p>
        <a:p>
          <a:endParaRPr lang="en-US" sz="1000"/>
        </a:p>
        <a:p>
          <a:r>
            <a:rPr lang="en-US" sz="1400"/>
            <a:t>5. Find additional information in the DEVI Product Catalogue and below.</a:t>
          </a:r>
        </a:p>
        <a:p>
          <a:endParaRPr lang="en-US" sz="1400"/>
        </a:p>
        <a:p>
          <a:r>
            <a:rPr lang="en-US" sz="1200" b="1" i="0" u="none" strike="noStrike" baseline="0">
              <a:solidFill>
                <a:schemeClr val="dk1"/>
              </a:solidFill>
              <a:latin typeface="+mn-lt"/>
              <a:ea typeface="+mn-ea"/>
              <a:cs typeface="+mn-cs"/>
            </a:rPr>
            <a:t>Note: </a:t>
          </a:r>
          <a:r>
            <a:rPr lang="en-US" sz="1200" b="0" i="1" u="none" strike="noStrike" baseline="0">
              <a:solidFill>
                <a:schemeClr val="dk1"/>
              </a:solidFill>
              <a:latin typeface="+mn-lt"/>
              <a:ea typeface="+mn-ea"/>
              <a:cs typeface="+mn-cs"/>
            </a:rPr>
            <a:t>It is the full responsibility of the installer/designer to use proper cold lead dimensioned for the purpose and assembly sets that establish sufficient mechanical strength, flammability resistance and water tightness - and to design the heating unit with correct output for the specific application to avoid overheating of the cable or building materials. </a:t>
          </a:r>
          <a:endParaRPr lang="ru-RU" sz="1600"/>
        </a:p>
      </xdr:txBody>
    </xdr:sp>
    <xdr:clientData/>
  </xdr:twoCellAnchor>
  <xdr:twoCellAnchor editAs="oneCell">
    <xdr:from>
      <xdr:col>7</xdr:col>
      <xdr:colOff>27216</xdr:colOff>
      <xdr:row>61</xdr:row>
      <xdr:rowOff>163284</xdr:rowOff>
    </xdr:from>
    <xdr:to>
      <xdr:col>14</xdr:col>
      <xdr:colOff>1314174</xdr:colOff>
      <xdr:row>86</xdr:row>
      <xdr:rowOff>122463</xdr:rowOff>
    </xdr:to>
    <xdr:pic>
      <xdr:nvPicPr>
        <xdr:cNvPr id="10" name="Рисунок 9">
          <a:extLst>
            <a:ext uri="{FF2B5EF4-FFF2-40B4-BE49-F238E27FC236}">
              <a16:creationId xmlns:a16="http://schemas.microsoft.com/office/drawing/2014/main" id="{1622C12F-C5EE-4A30-9322-8BE1B712884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544787" y="21281570"/>
          <a:ext cx="10279579" cy="4721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447675</xdr:colOff>
      <xdr:row>53</xdr:row>
      <xdr:rowOff>95250</xdr:rowOff>
    </xdr:to>
    <xdr:pic>
      <xdr:nvPicPr>
        <xdr:cNvPr id="4" name="Рисунок 3">
          <a:extLst>
            <a:ext uri="{FF2B5EF4-FFF2-40B4-BE49-F238E27FC236}">
              <a16:creationId xmlns:a16="http://schemas.microsoft.com/office/drawing/2014/main" id="{1B5382F0-31E0-4391-A307-4C73F8E67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210425" cy="1019175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0</xdr:row>
      <xdr:rowOff>0</xdr:rowOff>
    </xdr:from>
    <xdr:to>
      <xdr:col>23</xdr:col>
      <xdr:colOff>514350</xdr:colOff>
      <xdr:row>53</xdr:row>
      <xdr:rowOff>114300</xdr:rowOff>
    </xdr:to>
    <xdr:pic>
      <xdr:nvPicPr>
        <xdr:cNvPr id="5" name="Рисунок 4">
          <a:extLst>
            <a:ext uri="{FF2B5EF4-FFF2-40B4-BE49-F238E27FC236}">
              <a16:creationId xmlns:a16="http://schemas.microsoft.com/office/drawing/2014/main" id="{BC93BDDE-BA00-451F-AFB1-6D22E1692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55681" y="0"/>
          <a:ext cx="7184232" cy="102108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119063</xdr:colOff>
      <xdr:row>15</xdr:row>
      <xdr:rowOff>71439</xdr:rowOff>
    </xdr:from>
    <xdr:to>
      <xdr:col>35</xdr:col>
      <xdr:colOff>595312</xdr:colOff>
      <xdr:row>22</xdr:row>
      <xdr:rowOff>30057</xdr:rowOff>
    </xdr:to>
    <xdr:pic>
      <xdr:nvPicPr>
        <xdr:cNvPr id="7" name="Рисунок 6">
          <a:extLst>
            <a:ext uri="{FF2B5EF4-FFF2-40B4-BE49-F238E27FC236}">
              <a16:creationId xmlns:a16="http://schemas.microsoft.com/office/drawing/2014/main" id="{2D8249F5-5123-49FD-9751-B30E869476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51844" y="2928939"/>
          <a:ext cx="7155656" cy="1292118"/>
        </a:xfrm>
        <a:prstGeom prst="rect">
          <a:avLst/>
        </a:prstGeom>
        <a:noFill/>
        <a:ln>
          <a:solidFill>
            <a:schemeClr val="bg1">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95250</xdr:colOff>
      <xdr:row>0</xdr:row>
      <xdr:rowOff>0</xdr:rowOff>
    </xdr:from>
    <xdr:to>
      <xdr:col>36</xdr:col>
      <xdr:colOff>11906</xdr:colOff>
      <xdr:row>14</xdr:row>
      <xdr:rowOff>146227</xdr:rowOff>
    </xdr:to>
    <xdr:pic>
      <xdr:nvPicPr>
        <xdr:cNvPr id="9" name="Рисунок 8">
          <a:extLst>
            <a:ext uri="{FF2B5EF4-FFF2-40B4-BE49-F238E27FC236}">
              <a16:creationId xmlns:a16="http://schemas.microsoft.com/office/drawing/2014/main" id="{E19EBB63-3DAB-4F5C-A312-DC5D7B299D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28031" y="0"/>
          <a:ext cx="7203281" cy="2813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119063</xdr:colOff>
      <xdr:row>22</xdr:row>
      <xdr:rowOff>142874</xdr:rowOff>
    </xdr:from>
    <xdr:to>
      <xdr:col>31</xdr:col>
      <xdr:colOff>166686</xdr:colOff>
      <xdr:row>28</xdr:row>
      <xdr:rowOff>16379</xdr:rowOff>
    </xdr:to>
    <xdr:pic>
      <xdr:nvPicPr>
        <xdr:cNvPr id="6" name="Рисунок 5">
          <a:extLst>
            <a:ext uri="{FF2B5EF4-FFF2-40B4-BE49-F238E27FC236}">
              <a16:creationId xmlns:a16="http://schemas.microsoft.com/office/drawing/2014/main" id="{6E7EC105-1CDB-41EF-A274-442812D55A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751844" y="4333874"/>
          <a:ext cx="4298155" cy="1016505"/>
        </a:xfrm>
        <a:prstGeom prst="rect">
          <a:avLst/>
        </a:prstGeom>
        <a:noFill/>
        <a:ln>
          <a:solidFill>
            <a:schemeClr val="bg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0</xdr:colOff>
      <xdr:row>27</xdr:row>
      <xdr:rowOff>9524</xdr:rowOff>
    </xdr:from>
    <xdr:to>
      <xdr:col>28</xdr:col>
      <xdr:colOff>0</xdr:colOff>
      <xdr:row>28</xdr:row>
      <xdr:rowOff>4232</xdr:rowOff>
    </xdr:to>
    <xdr:pic>
      <xdr:nvPicPr>
        <xdr:cNvPr id="25" name="Рисунок 24">
          <a:extLst>
            <a:ext uri="{FF2B5EF4-FFF2-40B4-BE49-F238E27FC236}">
              <a16:creationId xmlns:a16="http://schemas.microsoft.com/office/drawing/2014/main" id="{0062B52B-E45F-42B7-AE24-6E083616C2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35300" y="7000874"/>
          <a:ext cx="1304925" cy="1190625"/>
        </a:xfrm>
        <a:prstGeom prst="rect">
          <a:avLst/>
        </a:prstGeom>
      </xdr:spPr>
    </xdr:pic>
    <xdr:clientData/>
  </xdr:twoCellAnchor>
  <xdr:twoCellAnchor editAs="oneCell">
    <xdr:from>
      <xdr:col>27</xdr:col>
      <xdr:colOff>0</xdr:colOff>
      <xdr:row>28</xdr:row>
      <xdr:rowOff>1</xdr:rowOff>
    </xdr:from>
    <xdr:to>
      <xdr:col>28</xdr:col>
      <xdr:colOff>0</xdr:colOff>
      <xdr:row>29</xdr:row>
      <xdr:rowOff>13859</xdr:rowOff>
    </xdr:to>
    <xdr:pic>
      <xdr:nvPicPr>
        <xdr:cNvPr id="27" name="Рисунок 26">
          <a:extLst>
            <a:ext uri="{FF2B5EF4-FFF2-40B4-BE49-F238E27FC236}">
              <a16:creationId xmlns:a16="http://schemas.microsoft.com/office/drawing/2014/main" id="{044A7BD8-9668-4C83-93D7-B2D7F7DDCC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35300" y="8191501"/>
          <a:ext cx="1304925" cy="115685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19049</xdr:colOff>
          <xdr:row>22</xdr:row>
          <xdr:rowOff>10873</xdr:rowOff>
        </xdr:from>
        <xdr:to>
          <xdr:col>28</xdr:col>
          <xdr:colOff>19049</xdr:colOff>
          <xdr:row>24</xdr:row>
          <xdr:rowOff>772873</xdr:rowOff>
        </xdr:to>
        <xdr:pic>
          <xdr:nvPicPr>
            <xdr:cNvPr id="29" name="Рисунок 28">
              <a:extLst>
                <a:ext uri="{FF2B5EF4-FFF2-40B4-BE49-F238E27FC236}">
                  <a16:creationId xmlns:a16="http://schemas.microsoft.com/office/drawing/2014/main" id="{FED9FD2E-45D4-470F-A618-392B21E74EBA}"/>
                </a:ext>
              </a:extLst>
            </xdr:cNvPr>
            <xdr:cNvPicPr>
              <a:picLocks noChangeAspect="1"/>
              <a:extLst>
                <a:ext uri="{84589F7E-364E-4C9E-8A38-B11213B215E9}">
                  <a14:cameraTool cellRange="logo" spid="_x0000_s5686"/>
                </a:ext>
              </a:extLst>
            </xdr:cNvPicPr>
          </xdr:nvPicPr>
          <xdr:blipFill>
            <a:blip xmlns:r="http://schemas.openxmlformats.org/officeDocument/2006/relationships" r:embed="rId3"/>
            <a:stretch>
              <a:fillRect/>
            </a:stretch>
          </xdr:blipFill>
          <xdr:spPr>
            <a:xfrm>
              <a:off x="15788216" y="4445290"/>
              <a:ext cx="1301750" cy="1143000"/>
            </a:xfrm>
            <a:prstGeom prst="rect">
              <a:avLst/>
            </a:prstGeom>
          </xdr:spPr>
        </xdr:pic>
        <xdr:clientData/>
      </xdr:twoCellAnchor>
    </mc:Choice>
    <mc:Fallback/>
  </mc:AlternateContent>
  <xdr:twoCellAnchor editAs="oneCell">
    <xdr:from>
      <xdr:col>27</xdr:col>
      <xdr:colOff>0</xdr:colOff>
      <xdr:row>29</xdr:row>
      <xdr:rowOff>0</xdr:rowOff>
    </xdr:from>
    <xdr:to>
      <xdr:col>28</xdr:col>
      <xdr:colOff>0</xdr:colOff>
      <xdr:row>30</xdr:row>
      <xdr:rowOff>0</xdr:rowOff>
    </xdr:to>
    <xdr:pic>
      <xdr:nvPicPr>
        <xdr:cNvPr id="31" name="Рисунок 30">
          <a:extLst>
            <a:ext uri="{FF2B5EF4-FFF2-40B4-BE49-F238E27FC236}">
              <a16:creationId xmlns:a16="http://schemas.microsoft.com/office/drawing/2014/main" id="{884550E6-45FC-476D-B5D2-8212A786A0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735300" y="9334500"/>
          <a:ext cx="1304925" cy="1190625"/>
        </a:xfrm>
        <a:prstGeom prst="rect">
          <a:avLst/>
        </a:prstGeom>
      </xdr:spPr>
    </xdr:pic>
    <xdr:clientData/>
  </xdr:twoCellAnchor>
  <xdr:twoCellAnchor editAs="oneCell">
    <xdr:from>
      <xdr:col>27</xdr:col>
      <xdr:colOff>0</xdr:colOff>
      <xdr:row>30</xdr:row>
      <xdr:rowOff>0</xdr:rowOff>
    </xdr:from>
    <xdr:to>
      <xdr:col>28</xdr:col>
      <xdr:colOff>0</xdr:colOff>
      <xdr:row>30</xdr:row>
      <xdr:rowOff>1142999</xdr:rowOff>
    </xdr:to>
    <xdr:pic>
      <xdr:nvPicPr>
        <xdr:cNvPr id="33" name="Рисунок 32">
          <a:extLst>
            <a:ext uri="{FF2B5EF4-FFF2-40B4-BE49-F238E27FC236}">
              <a16:creationId xmlns:a16="http://schemas.microsoft.com/office/drawing/2014/main" id="{1A17A0F1-9F7D-4A97-BA36-3BA775194F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735300" y="10525125"/>
          <a:ext cx="1304925" cy="1142999"/>
        </a:xfrm>
        <a:prstGeom prst="rect">
          <a:avLst/>
        </a:prstGeom>
      </xdr:spPr>
    </xdr:pic>
    <xdr:clientData/>
  </xdr:twoCellAnchor>
  <xdr:twoCellAnchor editAs="oneCell">
    <xdr:from>
      <xdr:col>27</xdr:col>
      <xdr:colOff>0</xdr:colOff>
      <xdr:row>31</xdr:row>
      <xdr:rowOff>0</xdr:rowOff>
    </xdr:from>
    <xdr:to>
      <xdr:col>28</xdr:col>
      <xdr:colOff>0</xdr:colOff>
      <xdr:row>32</xdr:row>
      <xdr:rowOff>0</xdr:rowOff>
    </xdr:to>
    <xdr:pic>
      <xdr:nvPicPr>
        <xdr:cNvPr id="35" name="Рисунок 34">
          <a:extLst>
            <a:ext uri="{FF2B5EF4-FFF2-40B4-BE49-F238E27FC236}">
              <a16:creationId xmlns:a16="http://schemas.microsoft.com/office/drawing/2014/main" id="{EE269689-2756-439F-8171-50FB9A5418D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735300" y="11668125"/>
          <a:ext cx="1304925" cy="1143000"/>
        </a:xfrm>
        <a:prstGeom prst="rect">
          <a:avLst/>
        </a:prstGeom>
      </xdr:spPr>
    </xdr:pic>
    <xdr:clientData/>
  </xdr:twoCellAnchor>
  <xdr:twoCellAnchor editAs="oneCell">
    <xdr:from>
      <xdr:col>27</xdr:col>
      <xdr:colOff>0</xdr:colOff>
      <xdr:row>32</xdr:row>
      <xdr:rowOff>0</xdr:rowOff>
    </xdr:from>
    <xdr:to>
      <xdr:col>28</xdr:col>
      <xdr:colOff>0</xdr:colOff>
      <xdr:row>33</xdr:row>
      <xdr:rowOff>0</xdr:rowOff>
    </xdr:to>
    <xdr:pic>
      <xdr:nvPicPr>
        <xdr:cNvPr id="37" name="Рисунок 36">
          <a:extLst>
            <a:ext uri="{FF2B5EF4-FFF2-40B4-BE49-F238E27FC236}">
              <a16:creationId xmlns:a16="http://schemas.microsoft.com/office/drawing/2014/main" id="{69B4BD9B-663D-4FD1-98DC-2670183BCF5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735300" y="12811125"/>
          <a:ext cx="1304925" cy="1162050"/>
        </a:xfrm>
        <a:prstGeom prst="rect">
          <a:avLst/>
        </a:prstGeom>
      </xdr:spPr>
    </xdr:pic>
    <xdr:clientData/>
  </xdr:twoCellAnchor>
  <xdr:twoCellAnchor editAs="oneCell">
    <xdr:from>
      <xdr:col>27</xdr:col>
      <xdr:colOff>1</xdr:colOff>
      <xdr:row>33</xdr:row>
      <xdr:rowOff>0</xdr:rowOff>
    </xdr:from>
    <xdr:to>
      <xdr:col>28</xdr:col>
      <xdr:colOff>0</xdr:colOff>
      <xdr:row>34</xdr:row>
      <xdr:rowOff>0</xdr:rowOff>
    </xdr:to>
    <xdr:pic>
      <xdr:nvPicPr>
        <xdr:cNvPr id="39" name="Рисунок 38">
          <a:extLst>
            <a:ext uri="{FF2B5EF4-FFF2-40B4-BE49-F238E27FC236}">
              <a16:creationId xmlns:a16="http://schemas.microsoft.com/office/drawing/2014/main" id="{6AF20747-EDC0-438C-99D7-25B2D53881E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35301" y="13973175"/>
          <a:ext cx="1304924" cy="1152525"/>
        </a:xfrm>
        <a:prstGeom prst="rect">
          <a:avLst/>
        </a:prstGeom>
      </xdr:spPr>
    </xdr:pic>
    <xdr:clientData/>
  </xdr:twoCellAnchor>
  <xdr:twoCellAnchor editAs="oneCell">
    <xdr:from>
      <xdr:col>27</xdr:col>
      <xdr:colOff>0</xdr:colOff>
      <xdr:row>34</xdr:row>
      <xdr:rowOff>1</xdr:rowOff>
    </xdr:from>
    <xdr:to>
      <xdr:col>28</xdr:col>
      <xdr:colOff>0</xdr:colOff>
      <xdr:row>35</xdr:row>
      <xdr:rowOff>1</xdr:rowOff>
    </xdr:to>
    <xdr:pic>
      <xdr:nvPicPr>
        <xdr:cNvPr id="41" name="Рисунок 40">
          <a:extLst>
            <a:ext uri="{FF2B5EF4-FFF2-40B4-BE49-F238E27FC236}">
              <a16:creationId xmlns:a16="http://schemas.microsoft.com/office/drawing/2014/main" id="{98C94717-9868-4B93-9C13-B261DEA8FE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735300" y="15125701"/>
          <a:ext cx="1304925" cy="1143000"/>
        </a:xfrm>
        <a:prstGeom prst="rect">
          <a:avLst/>
        </a:prstGeom>
      </xdr:spPr>
    </xdr:pic>
    <xdr:clientData/>
  </xdr:twoCellAnchor>
  <xdr:twoCellAnchor editAs="oneCell">
    <xdr:from>
      <xdr:col>27</xdr:col>
      <xdr:colOff>0</xdr:colOff>
      <xdr:row>35</xdr:row>
      <xdr:rowOff>0</xdr:rowOff>
    </xdr:from>
    <xdr:to>
      <xdr:col>28</xdr:col>
      <xdr:colOff>0</xdr:colOff>
      <xdr:row>36</xdr:row>
      <xdr:rowOff>0</xdr:rowOff>
    </xdr:to>
    <xdr:pic>
      <xdr:nvPicPr>
        <xdr:cNvPr id="43" name="Рисунок 42">
          <a:extLst>
            <a:ext uri="{FF2B5EF4-FFF2-40B4-BE49-F238E27FC236}">
              <a16:creationId xmlns:a16="http://schemas.microsoft.com/office/drawing/2014/main" id="{C7FB1B71-A974-4E81-84ED-E378378E2C7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735300" y="16268700"/>
          <a:ext cx="1304925" cy="1143000"/>
        </a:xfrm>
        <a:prstGeom prst="rect">
          <a:avLst/>
        </a:prstGeom>
      </xdr:spPr>
    </xdr:pic>
    <xdr:clientData/>
  </xdr:twoCellAnchor>
  <xdr:twoCellAnchor editAs="oneCell">
    <xdr:from>
      <xdr:col>27</xdr:col>
      <xdr:colOff>0</xdr:colOff>
      <xdr:row>36</xdr:row>
      <xdr:rowOff>0</xdr:rowOff>
    </xdr:from>
    <xdr:to>
      <xdr:col>28</xdr:col>
      <xdr:colOff>0</xdr:colOff>
      <xdr:row>36</xdr:row>
      <xdr:rowOff>1142999</xdr:rowOff>
    </xdr:to>
    <xdr:pic>
      <xdr:nvPicPr>
        <xdr:cNvPr id="45" name="Рисунок 44">
          <a:extLst>
            <a:ext uri="{FF2B5EF4-FFF2-40B4-BE49-F238E27FC236}">
              <a16:creationId xmlns:a16="http://schemas.microsoft.com/office/drawing/2014/main" id="{E3EA0345-4C1E-40DA-8D51-FF5D7E9A1F8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735300" y="17411700"/>
          <a:ext cx="1304925" cy="11429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30</xdr:col>
          <xdr:colOff>19051</xdr:colOff>
          <xdr:row>21</xdr:row>
          <xdr:rowOff>171450</xdr:rowOff>
        </xdr:from>
        <xdr:to>
          <xdr:col>31</xdr:col>
          <xdr:colOff>19051</xdr:colOff>
          <xdr:row>24</xdr:row>
          <xdr:rowOff>742950</xdr:rowOff>
        </xdr:to>
        <xdr:pic>
          <xdr:nvPicPr>
            <xdr:cNvPr id="3" name="Рисунок 2">
              <a:extLst>
                <a:ext uri="{FF2B5EF4-FFF2-40B4-BE49-F238E27FC236}">
                  <a16:creationId xmlns:a16="http://schemas.microsoft.com/office/drawing/2014/main" id="{F6CA4421-6D66-45C4-8575-5BFE10B2E8AD}"/>
                </a:ext>
              </a:extLst>
            </xdr:cNvPr>
            <xdr:cNvPicPr>
              <a:picLocks noChangeAspect="1"/>
              <a:extLst>
                <a:ext uri="{84589F7E-364E-4C9E-8A38-B11213B215E9}">
                  <a14:cameraTool cellRange="logo1" spid="_x0000_s5687"/>
                </a:ext>
              </a:extLst>
            </xdr:cNvPicPr>
          </xdr:nvPicPr>
          <xdr:blipFill>
            <a:blip xmlns:r="http://schemas.openxmlformats.org/officeDocument/2006/relationships" r:embed="rId12"/>
            <a:stretch>
              <a:fillRect/>
            </a:stretch>
          </xdr:blipFill>
          <xdr:spPr>
            <a:xfrm>
              <a:off x="18278476" y="4410075"/>
              <a:ext cx="1304925" cy="1143000"/>
            </a:xfrm>
            <a:prstGeom prst="rect">
              <a:avLst/>
            </a:prstGeom>
          </xdr:spPr>
        </xdr:pic>
        <xdr:clientData/>
      </xdr:twoCellAnchor>
    </mc:Choice>
    <mc:Fallback/>
  </mc:AlternateContent>
  <xdr:twoCellAnchor>
    <xdr:from>
      <xdr:col>27</xdr:col>
      <xdr:colOff>0</xdr:colOff>
      <xdr:row>26</xdr:row>
      <xdr:rowOff>0</xdr:rowOff>
    </xdr:from>
    <xdr:to>
      <xdr:col>28</xdr:col>
      <xdr:colOff>0</xdr:colOff>
      <xdr:row>27</xdr:row>
      <xdr:rowOff>0</xdr:rowOff>
    </xdr:to>
    <xdr:sp macro="" textlink="">
      <xdr:nvSpPr>
        <xdr:cNvPr id="4" name="Прямоугольник 3">
          <a:extLst>
            <a:ext uri="{FF2B5EF4-FFF2-40B4-BE49-F238E27FC236}">
              <a16:creationId xmlns:a16="http://schemas.microsoft.com/office/drawing/2014/main" id="{90D3A4AA-A30C-4B4B-8946-56CDC0D027C6}"/>
            </a:ext>
          </a:extLst>
        </xdr:cNvPr>
        <xdr:cNvSpPr/>
      </xdr:nvSpPr>
      <xdr:spPr>
        <a:xfrm>
          <a:off x="15735300" y="6000750"/>
          <a:ext cx="1304925" cy="990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30</xdr:col>
      <xdr:colOff>0</xdr:colOff>
      <xdr:row>26</xdr:row>
      <xdr:rowOff>0</xdr:rowOff>
    </xdr:from>
    <xdr:to>
      <xdr:col>31</xdr:col>
      <xdr:colOff>0</xdr:colOff>
      <xdr:row>27</xdr:row>
      <xdr:rowOff>0</xdr:rowOff>
    </xdr:to>
    <xdr:sp macro="" textlink="">
      <xdr:nvSpPr>
        <xdr:cNvPr id="44" name="Прямоугольник 43">
          <a:extLst>
            <a:ext uri="{FF2B5EF4-FFF2-40B4-BE49-F238E27FC236}">
              <a16:creationId xmlns:a16="http://schemas.microsoft.com/office/drawing/2014/main" id="{99A0629A-2016-4275-841B-E99845B4B227}"/>
            </a:ext>
          </a:extLst>
        </xdr:cNvPr>
        <xdr:cNvSpPr/>
      </xdr:nvSpPr>
      <xdr:spPr>
        <a:xfrm>
          <a:off x="18259425" y="6000750"/>
          <a:ext cx="1304925" cy="990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32</xdr:col>
      <xdr:colOff>0</xdr:colOff>
      <xdr:row>26</xdr:row>
      <xdr:rowOff>0</xdr:rowOff>
    </xdr:from>
    <xdr:to>
      <xdr:col>33</xdr:col>
      <xdr:colOff>0</xdr:colOff>
      <xdr:row>27</xdr:row>
      <xdr:rowOff>0</xdr:rowOff>
    </xdr:to>
    <xdr:sp macro="" textlink="">
      <xdr:nvSpPr>
        <xdr:cNvPr id="46" name="Прямоугольник 45">
          <a:extLst>
            <a:ext uri="{FF2B5EF4-FFF2-40B4-BE49-F238E27FC236}">
              <a16:creationId xmlns:a16="http://schemas.microsoft.com/office/drawing/2014/main" id="{20B8C73A-E7FF-499A-B1BD-63128B40DDCF}"/>
            </a:ext>
          </a:extLst>
        </xdr:cNvPr>
        <xdr:cNvSpPr/>
      </xdr:nvSpPr>
      <xdr:spPr>
        <a:xfrm>
          <a:off x="20173950" y="6000750"/>
          <a:ext cx="1304925" cy="990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30</xdr:col>
      <xdr:colOff>9525</xdr:colOff>
      <xdr:row>27</xdr:row>
      <xdr:rowOff>9524</xdr:rowOff>
    </xdr:from>
    <xdr:to>
      <xdr:col>31</xdr:col>
      <xdr:colOff>9525</xdr:colOff>
      <xdr:row>28</xdr:row>
      <xdr:rowOff>4232</xdr:rowOff>
    </xdr:to>
    <xdr:pic>
      <xdr:nvPicPr>
        <xdr:cNvPr id="47" name="Рисунок 46">
          <a:extLst>
            <a:ext uri="{FF2B5EF4-FFF2-40B4-BE49-F238E27FC236}">
              <a16:creationId xmlns:a16="http://schemas.microsoft.com/office/drawing/2014/main" id="{FDF16A38-171A-432C-9B77-79FAD60DD7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68950" y="7000874"/>
          <a:ext cx="1304925" cy="1190625"/>
        </a:xfrm>
        <a:prstGeom prst="rect">
          <a:avLst/>
        </a:prstGeom>
      </xdr:spPr>
    </xdr:pic>
    <xdr:clientData/>
  </xdr:twoCellAnchor>
  <xdr:twoCellAnchor editAs="oneCell">
    <xdr:from>
      <xdr:col>30</xdr:col>
      <xdr:colOff>9525</xdr:colOff>
      <xdr:row>28</xdr:row>
      <xdr:rowOff>1</xdr:rowOff>
    </xdr:from>
    <xdr:to>
      <xdr:col>31</xdr:col>
      <xdr:colOff>9525</xdr:colOff>
      <xdr:row>29</xdr:row>
      <xdr:rowOff>13859</xdr:rowOff>
    </xdr:to>
    <xdr:pic>
      <xdr:nvPicPr>
        <xdr:cNvPr id="48" name="Рисунок 47">
          <a:extLst>
            <a:ext uri="{FF2B5EF4-FFF2-40B4-BE49-F238E27FC236}">
              <a16:creationId xmlns:a16="http://schemas.microsoft.com/office/drawing/2014/main" id="{CFD91ADD-B9D3-460A-8F6C-AC13005DBE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68950" y="8191501"/>
          <a:ext cx="1304925" cy="1156858"/>
        </a:xfrm>
        <a:prstGeom prst="rect">
          <a:avLst/>
        </a:prstGeom>
      </xdr:spPr>
    </xdr:pic>
    <xdr:clientData/>
  </xdr:twoCellAnchor>
  <xdr:twoCellAnchor editAs="oneCell">
    <xdr:from>
      <xdr:col>30</xdr:col>
      <xdr:colOff>9525</xdr:colOff>
      <xdr:row>29</xdr:row>
      <xdr:rowOff>0</xdr:rowOff>
    </xdr:from>
    <xdr:to>
      <xdr:col>31</xdr:col>
      <xdr:colOff>9525</xdr:colOff>
      <xdr:row>30</xdr:row>
      <xdr:rowOff>0</xdr:rowOff>
    </xdr:to>
    <xdr:pic>
      <xdr:nvPicPr>
        <xdr:cNvPr id="49" name="Рисунок 48">
          <a:extLst>
            <a:ext uri="{FF2B5EF4-FFF2-40B4-BE49-F238E27FC236}">
              <a16:creationId xmlns:a16="http://schemas.microsoft.com/office/drawing/2014/main" id="{1DA7E138-58F9-4422-8B65-C37B4E0050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268950" y="9334500"/>
          <a:ext cx="1304925" cy="1190625"/>
        </a:xfrm>
        <a:prstGeom prst="rect">
          <a:avLst/>
        </a:prstGeom>
      </xdr:spPr>
    </xdr:pic>
    <xdr:clientData/>
  </xdr:twoCellAnchor>
  <xdr:twoCellAnchor editAs="oneCell">
    <xdr:from>
      <xdr:col>30</xdr:col>
      <xdr:colOff>9525</xdr:colOff>
      <xdr:row>31</xdr:row>
      <xdr:rowOff>0</xdr:rowOff>
    </xdr:from>
    <xdr:to>
      <xdr:col>31</xdr:col>
      <xdr:colOff>9525</xdr:colOff>
      <xdr:row>32</xdr:row>
      <xdr:rowOff>0</xdr:rowOff>
    </xdr:to>
    <xdr:pic>
      <xdr:nvPicPr>
        <xdr:cNvPr id="50" name="Рисунок 49">
          <a:extLst>
            <a:ext uri="{FF2B5EF4-FFF2-40B4-BE49-F238E27FC236}">
              <a16:creationId xmlns:a16="http://schemas.microsoft.com/office/drawing/2014/main" id="{284318BB-5016-4A58-9F77-257301BE8A4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268950" y="11668125"/>
          <a:ext cx="1304925" cy="1143000"/>
        </a:xfrm>
        <a:prstGeom prst="rect">
          <a:avLst/>
        </a:prstGeom>
      </xdr:spPr>
    </xdr:pic>
    <xdr:clientData/>
  </xdr:twoCellAnchor>
  <xdr:twoCellAnchor editAs="oneCell">
    <xdr:from>
      <xdr:col>30</xdr:col>
      <xdr:colOff>9525</xdr:colOff>
      <xdr:row>32</xdr:row>
      <xdr:rowOff>0</xdr:rowOff>
    </xdr:from>
    <xdr:to>
      <xdr:col>31</xdr:col>
      <xdr:colOff>9525</xdr:colOff>
      <xdr:row>33</xdr:row>
      <xdr:rowOff>0</xdr:rowOff>
    </xdr:to>
    <xdr:pic>
      <xdr:nvPicPr>
        <xdr:cNvPr id="51" name="Рисунок 50">
          <a:extLst>
            <a:ext uri="{FF2B5EF4-FFF2-40B4-BE49-F238E27FC236}">
              <a16:creationId xmlns:a16="http://schemas.microsoft.com/office/drawing/2014/main" id="{BFCDAD8C-6107-4261-9ABA-6A31599A796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268950" y="12811125"/>
          <a:ext cx="1304925" cy="1162050"/>
        </a:xfrm>
        <a:prstGeom prst="rect">
          <a:avLst/>
        </a:prstGeom>
      </xdr:spPr>
    </xdr:pic>
    <xdr:clientData/>
  </xdr:twoCellAnchor>
  <xdr:twoCellAnchor editAs="oneCell">
    <xdr:from>
      <xdr:col>30</xdr:col>
      <xdr:colOff>9526</xdr:colOff>
      <xdr:row>33</xdr:row>
      <xdr:rowOff>0</xdr:rowOff>
    </xdr:from>
    <xdr:to>
      <xdr:col>31</xdr:col>
      <xdr:colOff>9525</xdr:colOff>
      <xdr:row>34</xdr:row>
      <xdr:rowOff>0</xdr:rowOff>
    </xdr:to>
    <xdr:pic>
      <xdr:nvPicPr>
        <xdr:cNvPr id="52" name="Рисунок 51">
          <a:extLst>
            <a:ext uri="{FF2B5EF4-FFF2-40B4-BE49-F238E27FC236}">
              <a16:creationId xmlns:a16="http://schemas.microsoft.com/office/drawing/2014/main" id="{41F98587-6D8E-476E-9E11-A407354EAF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268951" y="13973175"/>
          <a:ext cx="1304924" cy="1152525"/>
        </a:xfrm>
        <a:prstGeom prst="rect">
          <a:avLst/>
        </a:prstGeom>
      </xdr:spPr>
    </xdr:pic>
    <xdr:clientData/>
  </xdr:twoCellAnchor>
  <xdr:twoCellAnchor editAs="oneCell">
    <xdr:from>
      <xdr:col>30</xdr:col>
      <xdr:colOff>9525</xdr:colOff>
      <xdr:row>34</xdr:row>
      <xdr:rowOff>1</xdr:rowOff>
    </xdr:from>
    <xdr:to>
      <xdr:col>31</xdr:col>
      <xdr:colOff>9525</xdr:colOff>
      <xdr:row>35</xdr:row>
      <xdr:rowOff>1</xdr:rowOff>
    </xdr:to>
    <xdr:pic>
      <xdr:nvPicPr>
        <xdr:cNvPr id="53" name="Рисунок 52">
          <a:extLst>
            <a:ext uri="{FF2B5EF4-FFF2-40B4-BE49-F238E27FC236}">
              <a16:creationId xmlns:a16="http://schemas.microsoft.com/office/drawing/2014/main" id="{501C70D6-D5DC-4D67-BCE0-07C9346360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68950" y="15125701"/>
          <a:ext cx="1304925" cy="1143000"/>
        </a:xfrm>
        <a:prstGeom prst="rect">
          <a:avLst/>
        </a:prstGeom>
      </xdr:spPr>
    </xdr:pic>
    <xdr:clientData/>
  </xdr:twoCellAnchor>
  <xdr:twoCellAnchor editAs="oneCell">
    <xdr:from>
      <xdr:col>30</xdr:col>
      <xdr:colOff>9525</xdr:colOff>
      <xdr:row>35</xdr:row>
      <xdr:rowOff>0</xdr:rowOff>
    </xdr:from>
    <xdr:to>
      <xdr:col>31</xdr:col>
      <xdr:colOff>9525</xdr:colOff>
      <xdr:row>36</xdr:row>
      <xdr:rowOff>0</xdr:rowOff>
    </xdr:to>
    <xdr:pic>
      <xdr:nvPicPr>
        <xdr:cNvPr id="54" name="Рисунок 53">
          <a:extLst>
            <a:ext uri="{FF2B5EF4-FFF2-40B4-BE49-F238E27FC236}">
              <a16:creationId xmlns:a16="http://schemas.microsoft.com/office/drawing/2014/main" id="{B7E33C8C-FE1D-40C8-A08C-5E977D8A6AC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68950" y="16268700"/>
          <a:ext cx="1304925" cy="1143000"/>
        </a:xfrm>
        <a:prstGeom prst="rect">
          <a:avLst/>
        </a:prstGeom>
      </xdr:spPr>
    </xdr:pic>
    <xdr:clientData/>
  </xdr:twoCellAnchor>
  <xdr:twoCellAnchor editAs="oneCell">
    <xdr:from>
      <xdr:col>30</xdr:col>
      <xdr:colOff>9525</xdr:colOff>
      <xdr:row>36</xdr:row>
      <xdr:rowOff>0</xdr:rowOff>
    </xdr:from>
    <xdr:to>
      <xdr:col>31</xdr:col>
      <xdr:colOff>9525</xdr:colOff>
      <xdr:row>36</xdr:row>
      <xdr:rowOff>1142999</xdr:rowOff>
    </xdr:to>
    <xdr:pic>
      <xdr:nvPicPr>
        <xdr:cNvPr id="55" name="Рисунок 54">
          <a:extLst>
            <a:ext uri="{FF2B5EF4-FFF2-40B4-BE49-F238E27FC236}">
              <a16:creationId xmlns:a16="http://schemas.microsoft.com/office/drawing/2014/main" id="{6B82A0D3-4B39-4CD4-ABEE-97F7327AF0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268950" y="17411700"/>
          <a:ext cx="1304925" cy="1142999"/>
        </a:xfrm>
        <a:prstGeom prst="rect">
          <a:avLst/>
        </a:prstGeom>
      </xdr:spPr>
    </xdr:pic>
    <xdr:clientData/>
  </xdr:twoCellAnchor>
  <xdr:twoCellAnchor editAs="oneCell">
    <xdr:from>
      <xdr:col>32</xdr:col>
      <xdr:colOff>9525</xdr:colOff>
      <xdr:row>27</xdr:row>
      <xdr:rowOff>9524</xdr:rowOff>
    </xdr:from>
    <xdr:to>
      <xdr:col>33</xdr:col>
      <xdr:colOff>9525</xdr:colOff>
      <xdr:row>28</xdr:row>
      <xdr:rowOff>4232</xdr:rowOff>
    </xdr:to>
    <xdr:pic>
      <xdr:nvPicPr>
        <xdr:cNvPr id="56" name="Рисунок 55">
          <a:extLst>
            <a:ext uri="{FF2B5EF4-FFF2-40B4-BE49-F238E27FC236}">
              <a16:creationId xmlns:a16="http://schemas.microsoft.com/office/drawing/2014/main" id="{8A395AF5-AA32-4892-819E-6BB8155CBD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83475" y="7000874"/>
          <a:ext cx="1304925" cy="1190625"/>
        </a:xfrm>
        <a:prstGeom prst="rect">
          <a:avLst/>
        </a:prstGeom>
      </xdr:spPr>
    </xdr:pic>
    <xdr:clientData/>
  </xdr:twoCellAnchor>
  <xdr:twoCellAnchor editAs="oneCell">
    <xdr:from>
      <xdr:col>32</xdr:col>
      <xdr:colOff>9525</xdr:colOff>
      <xdr:row>28</xdr:row>
      <xdr:rowOff>1</xdr:rowOff>
    </xdr:from>
    <xdr:to>
      <xdr:col>33</xdr:col>
      <xdr:colOff>9525</xdr:colOff>
      <xdr:row>29</xdr:row>
      <xdr:rowOff>13859</xdr:rowOff>
    </xdr:to>
    <xdr:pic>
      <xdr:nvPicPr>
        <xdr:cNvPr id="57" name="Рисунок 56">
          <a:extLst>
            <a:ext uri="{FF2B5EF4-FFF2-40B4-BE49-F238E27FC236}">
              <a16:creationId xmlns:a16="http://schemas.microsoft.com/office/drawing/2014/main" id="{EF83CA0A-87AE-4482-81B7-D81D07CE72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83475" y="8191501"/>
          <a:ext cx="1304925" cy="1156858"/>
        </a:xfrm>
        <a:prstGeom prst="rect">
          <a:avLst/>
        </a:prstGeom>
      </xdr:spPr>
    </xdr:pic>
    <xdr:clientData/>
  </xdr:twoCellAnchor>
  <xdr:twoCellAnchor editAs="oneCell">
    <xdr:from>
      <xdr:col>32</xdr:col>
      <xdr:colOff>9525</xdr:colOff>
      <xdr:row>29</xdr:row>
      <xdr:rowOff>0</xdr:rowOff>
    </xdr:from>
    <xdr:to>
      <xdr:col>33</xdr:col>
      <xdr:colOff>9525</xdr:colOff>
      <xdr:row>30</xdr:row>
      <xdr:rowOff>0</xdr:rowOff>
    </xdr:to>
    <xdr:pic>
      <xdr:nvPicPr>
        <xdr:cNvPr id="58" name="Рисунок 57">
          <a:extLst>
            <a:ext uri="{FF2B5EF4-FFF2-40B4-BE49-F238E27FC236}">
              <a16:creationId xmlns:a16="http://schemas.microsoft.com/office/drawing/2014/main" id="{23438A96-20DF-48DA-B4A9-D431195D05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183475" y="9334500"/>
          <a:ext cx="1304925" cy="1190625"/>
        </a:xfrm>
        <a:prstGeom prst="rect">
          <a:avLst/>
        </a:prstGeom>
      </xdr:spPr>
    </xdr:pic>
    <xdr:clientData/>
  </xdr:twoCellAnchor>
  <xdr:twoCellAnchor editAs="oneCell">
    <xdr:from>
      <xdr:col>32</xdr:col>
      <xdr:colOff>9525</xdr:colOff>
      <xdr:row>31</xdr:row>
      <xdr:rowOff>0</xdr:rowOff>
    </xdr:from>
    <xdr:to>
      <xdr:col>33</xdr:col>
      <xdr:colOff>9525</xdr:colOff>
      <xdr:row>32</xdr:row>
      <xdr:rowOff>0</xdr:rowOff>
    </xdr:to>
    <xdr:pic>
      <xdr:nvPicPr>
        <xdr:cNvPr id="59" name="Рисунок 58">
          <a:extLst>
            <a:ext uri="{FF2B5EF4-FFF2-40B4-BE49-F238E27FC236}">
              <a16:creationId xmlns:a16="http://schemas.microsoft.com/office/drawing/2014/main" id="{BA9B9899-CBD3-45FC-9364-A073E3106DF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183475" y="11668125"/>
          <a:ext cx="1304925" cy="1143000"/>
        </a:xfrm>
        <a:prstGeom prst="rect">
          <a:avLst/>
        </a:prstGeom>
      </xdr:spPr>
    </xdr:pic>
    <xdr:clientData/>
  </xdr:twoCellAnchor>
  <xdr:twoCellAnchor editAs="oneCell">
    <xdr:from>
      <xdr:col>32</xdr:col>
      <xdr:colOff>9525</xdr:colOff>
      <xdr:row>32</xdr:row>
      <xdr:rowOff>0</xdr:rowOff>
    </xdr:from>
    <xdr:to>
      <xdr:col>33</xdr:col>
      <xdr:colOff>9525</xdr:colOff>
      <xdr:row>33</xdr:row>
      <xdr:rowOff>0</xdr:rowOff>
    </xdr:to>
    <xdr:pic>
      <xdr:nvPicPr>
        <xdr:cNvPr id="60" name="Рисунок 59">
          <a:extLst>
            <a:ext uri="{FF2B5EF4-FFF2-40B4-BE49-F238E27FC236}">
              <a16:creationId xmlns:a16="http://schemas.microsoft.com/office/drawing/2014/main" id="{D5C46FB5-8546-48E0-A26B-8431ADB76E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83475" y="12811125"/>
          <a:ext cx="1304925" cy="1162050"/>
        </a:xfrm>
        <a:prstGeom prst="rect">
          <a:avLst/>
        </a:prstGeom>
      </xdr:spPr>
    </xdr:pic>
    <xdr:clientData/>
  </xdr:twoCellAnchor>
  <xdr:twoCellAnchor editAs="oneCell">
    <xdr:from>
      <xdr:col>32</xdr:col>
      <xdr:colOff>9526</xdr:colOff>
      <xdr:row>33</xdr:row>
      <xdr:rowOff>0</xdr:rowOff>
    </xdr:from>
    <xdr:to>
      <xdr:col>33</xdr:col>
      <xdr:colOff>9525</xdr:colOff>
      <xdr:row>34</xdr:row>
      <xdr:rowOff>0</xdr:rowOff>
    </xdr:to>
    <xdr:pic>
      <xdr:nvPicPr>
        <xdr:cNvPr id="61" name="Рисунок 60">
          <a:extLst>
            <a:ext uri="{FF2B5EF4-FFF2-40B4-BE49-F238E27FC236}">
              <a16:creationId xmlns:a16="http://schemas.microsoft.com/office/drawing/2014/main" id="{E832F0A1-E294-491D-BB4C-5A24CDB22CF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183476" y="13973175"/>
          <a:ext cx="1304924" cy="1152525"/>
        </a:xfrm>
        <a:prstGeom prst="rect">
          <a:avLst/>
        </a:prstGeom>
      </xdr:spPr>
    </xdr:pic>
    <xdr:clientData/>
  </xdr:twoCellAnchor>
  <xdr:twoCellAnchor editAs="oneCell">
    <xdr:from>
      <xdr:col>32</xdr:col>
      <xdr:colOff>9525</xdr:colOff>
      <xdr:row>34</xdr:row>
      <xdr:rowOff>1</xdr:rowOff>
    </xdr:from>
    <xdr:to>
      <xdr:col>33</xdr:col>
      <xdr:colOff>9525</xdr:colOff>
      <xdr:row>35</xdr:row>
      <xdr:rowOff>1</xdr:rowOff>
    </xdr:to>
    <xdr:pic>
      <xdr:nvPicPr>
        <xdr:cNvPr id="62" name="Рисунок 61">
          <a:extLst>
            <a:ext uri="{FF2B5EF4-FFF2-40B4-BE49-F238E27FC236}">
              <a16:creationId xmlns:a16="http://schemas.microsoft.com/office/drawing/2014/main" id="{B252CB04-7A06-4971-8B65-24BEAEE57F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183475" y="15125701"/>
          <a:ext cx="1304925" cy="1143000"/>
        </a:xfrm>
        <a:prstGeom prst="rect">
          <a:avLst/>
        </a:prstGeom>
      </xdr:spPr>
    </xdr:pic>
    <xdr:clientData/>
  </xdr:twoCellAnchor>
  <xdr:twoCellAnchor editAs="oneCell">
    <xdr:from>
      <xdr:col>32</xdr:col>
      <xdr:colOff>9525</xdr:colOff>
      <xdr:row>35</xdr:row>
      <xdr:rowOff>0</xdr:rowOff>
    </xdr:from>
    <xdr:to>
      <xdr:col>33</xdr:col>
      <xdr:colOff>9525</xdr:colOff>
      <xdr:row>36</xdr:row>
      <xdr:rowOff>0</xdr:rowOff>
    </xdr:to>
    <xdr:pic>
      <xdr:nvPicPr>
        <xdr:cNvPr id="63" name="Рисунок 62">
          <a:extLst>
            <a:ext uri="{FF2B5EF4-FFF2-40B4-BE49-F238E27FC236}">
              <a16:creationId xmlns:a16="http://schemas.microsoft.com/office/drawing/2014/main" id="{36487F9A-A9BF-4444-BB34-8ECE6039136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183475" y="16268700"/>
          <a:ext cx="1304925" cy="1143000"/>
        </a:xfrm>
        <a:prstGeom prst="rect">
          <a:avLst/>
        </a:prstGeom>
      </xdr:spPr>
    </xdr:pic>
    <xdr:clientData/>
  </xdr:twoCellAnchor>
  <xdr:twoCellAnchor editAs="oneCell">
    <xdr:from>
      <xdr:col>32</xdr:col>
      <xdr:colOff>9525</xdr:colOff>
      <xdr:row>36</xdr:row>
      <xdr:rowOff>0</xdr:rowOff>
    </xdr:from>
    <xdr:to>
      <xdr:col>33</xdr:col>
      <xdr:colOff>9525</xdr:colOff>
      <xdr:row>36</xdr:row>
      <xdr:rowOff>1142999</xdr:rowOff>
    </xdr:to>
    <xdr:pic>
      <xdr:nvPicPr>
        <xdr:cNvPr id="64" name="Рисунок 63">
          <a:extLst>
            <a:ext uri="{FF2B5EF4-FFF2-40B4-BE49-F238E27FC236}">
              <a16:creationId xmlns:a16="http://schemas.microsoft.com/office/drawing/2014/main" id="{A0737B1D-F65E-4F42-8232-8F3B6E7DEC3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0183475" y="17411700"/>
          <a:ext cx="1304925" cy="1142999"/>
        </a:xfrm>
        <a:prstGeom prst="rect">
          <a:avLst/>
        </a:prstGeom>
      </xdr:spPr>
    </xdr:pic>
    <xdr:clientData/>
  </xdr:twoCellAnchor>
  <xdr:twoCellAnchor editAs="oneCell">
    <xdr:from>
      <xdr:col>30</xdr:col>
      <xdr:colOff>9525</xdr:colOff>
      <xdr:row>30</xdr:row>
      <xdr:rowOff>0</xdr:rowOff>
    </xdr:from>
    <xdr:to>
      <xdr:col>31</xdr:col>
      <xdr:colOff>9525</xdr:colOff>
      <xdr:row>30</xdr:row>
      <xdr:rowOff>1142999</xdr:rowOff>
    </xdr:to>
    <xdr:pic>
      <xdr:nvPicPr>
        <xdr:cNvPr id="65" name="Рисунок 64">
          <a:extLst>
            <a:ext uri="{FF2B5EF4-FFF2-40B4-BE49-F238E27FC236}">
              <a16:creationId xmlns:a16="http://schemas.microsoft.com/office/drawing/2014/main" id="{6D10D0EF-DDE6-496F-A36E-962A7C5DC5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268950" y="10525125"/>
          <a:ext cx="1304925" cy="1142999"/>
        </a:xfrm>
        <a:prstGeom prst="rect">
          <a:avLst/>
        </a:prstGeom>
      </xdr:spPr>
    </xdr:pic>
    <xdr:clientData/>
  </xdr:twoCellAnchor>
  <xdr:twoCellAnchor editAs="oneCell">
    <xdr:from>
      <xdr:col>32</xdr:col>
      <xdr:colOff>9525</xdr:colOff>
      <xdr:row>30</xdr:row>
      <xdr:rowOff>0</xdr:rowOff>
    </xdr:from>
    <xdr:to>
      <xdr:col>33</xdr:col>
      <xdr:colOff>9525</xdr:colOff>
      <xdr:row>30</xdr:row>
      <xdr:rowOff>1142999</xdr:rowOff>
    </xdr:to>
    <xdr:pic>
      <xdr:nvPicPr>
        <xdr:cNvPr id="66" name="Рисунок 65">
          <a:extLst>
            <a:ext uri="{FF2B5EF4-FFF2-40B4-BE49-F238E27FC236}">
              <a16:creationId xmlns:a16="http://schemas.microsoft.com/office/drawing/2014/main" id="{E34196FB-5ECA-4911-9FB5-504075BDC4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83475" y="10525125"/>
          <a:ext cx="1304925" cy="1142999"/>
        </a:xfrm>
        <a:prstGeom prst="rect">
          <a:avLst/>
        </a:prstGeom>
      </xdr:spPr>
    </xdr:pic>
    <xdr:clientData/>
  </xdr:twoCellAnchor>
  <xdr:twoCellAnchor>
    <xdr:from>
      <xdr:col>35</xdr:col>
      <xdr:colOff>1</xdr:colOff>
      <xdr:row>26</xdr:row>
      <xdr:rowOff>0</xdr:rowOff>
    </xdr:from>
    <xdr:to>
      <xdr:col>36</xdr:col>
      <xdr:colOff>1</xdr:colOff>
      <xdr:row>27</xdr:row>
      <xdr:rowOff>0</xdr:rowOff>
    </xdr:to>
    <xdr:sp macro="" textlink="">
      <xdr:nvSpPr>
        <xdr:cNvPr id="38" name="Прямоугольник 37">
          <a:extLst>
            <a:ext uri="{FF2B5EF4-FFF2-40B4-BE49-F238E27FC236}">
              <a16:creationId xmlns:a16="http://schemas.microsoft.com/office/drawing/2014/main" id="{DAB48440-AFE4-49BE-9953-95AA6ADA1329}"/>
            </a:ext>
          </a:extLst>
        </xdr:cNvPr>
        <xdr:cNvSpPr/>
      </xdr:nvSpPr>
      <xdr:spPr>
        <a:xfrm>
          <a:off x="22593301" y="5953124"/>
          <a:ext cx="1304925" cy="11430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35</xdr:col>
      <xdr:colOff>0</xdr:colOff>
      <xdr:row>27</xdr:row>
      <xdr:rowOff>0</xdr:rowOff>
    </xdr:from>
    <xdr:to>
      <xdr:col>36</xdr:col>
      <xdr:colOff>0</xdr:colOff>
      <xdr:row>28</xdr:row>
      <xdr:rowOff>0</xdr:rowOff>
    </xdr:to>
    <xdr:pic>
      <xdr:nvPicPr>
        <xdr:cNvPr id="5" name="Рисунок 4">
          <a:extLst>
            <a:ext uri="{FF2B5EF4-FFF2-40B4-BE49-F238E27FC236}">
              <a16:creationId xmlns:a16="http://schemas.microsoft.com/office/drawing/2014/main" id="{3AA2779C-44F5-4D42-8209-AEB483A420C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593300" y="6991350"/>
          <a:ext cx="1304925" cy="1200150"/>
        </a:xfrm>
        <a:prstGeom prst="rect">
          <a:avLst/>
        </a:prstGeom>
      </xdr:spPr>
    </xdr:pic>
    <xdr:clientData/>
  </xdr:twoCellAnchor>
  <xdr:twoCellAnchor editAs="oneCell">
    <xdr:from>
      <xdr:col>35</xdr:col>
      <xdr:colOff>0</xdr:colOff>
      <xdr:row>28</xdr:row>
      <xdr:rowOff>0</xdr:rowOff>
    </xdr:from>
    <xdr:to>
      <xdr:col>36</xdr:col>
      <xdr:colOff>0</xdr:colOff>
      <xdr:row>29</xdr:row>
      <xdr:rowOff>0</xdr:rowOff>
    </xdr:to>
    <xdr:pic>
      <xdr:nvPicPr>
        <xdr:cNvPr id="40" name="Рисунок 39">
          <a:extLst>
            <a:ext uri="{FF2B5EF4-FFF2-40B4-BE49-F238E27FC236}">
              <a16:creationId xmlns:a16="http://schemas.microsoft.com/office/drawing/2014/main" id="{E6193076-D504-40E6-B402-299C6E02ADC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593300" y="8191500"/>
          <a:ext cx="1304925" cy="1143000"/>
        </a:xfrm>
        <a:prstGeom prst="rect">
          <a:avLst/>
        </a:prstGeom>
      </xdr:spPr>
    </xdr:pic>
    <xdr:clientData/>
  </xdr:twoCellAnchor>
  <xdr:twoCellAnchor editAs="oneCell">
    <xdr:from>
      <xdr:col>35</xdr:col>
      <xdr:colOff>0</xdr:colOff>
      <xdr:row>28</xdr:row>
      <xdr:rowOff>1142999</xdr:rowOff>
    </xdr:from>
    <xdr:to>
      <xdr:col>36</xdr:col>
      <xdr:colOff>0</xdr:colOff>
      <xdr:row>29</xdr:row>
      <xdr:rowOff>1190624</xdr:rowOff>
    </xdr:to>
    <xdr:pic>
      <xdr:nvPicPr>
        <xdr:cNvPr id="42" name="Рисунок 41">
          <a:extLst>
            <a:ext uri="{FF2B5EF4-FFF2-40B4-BE49-F238E27FC236}">
              <a16:creationId xmlns:a16="http://schemas.microsoft.com/office/drawing/2014/main" id="{B4AF1F01-0ADE-4E7F-9B3A-5B064F0A80F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593300" y="9334499"/>
          <a:ext cx="1304925" cy="1190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52</xdr:row>
      <xdr:rowOff>0</xdr:rowOff>
    </xdr:from>
    <xdr:to>
      <xdr:col>13</xdr:col>
      <xdr:colOff>466725</xdr:colOff>
      <xdr:row>57</xdr:row>
      <xdr:rowOff>85725</xdr:rowOff>
    </xdr:to>
    <xdr:pic>
      <xdr:nvPicPr>
        <xdr:cNvPr id="2" name="Picture 1">
          <a:extLst>
            <a:ext uri="{FF2B5EF4-FFF2-40B4-BE49-F238E27FC236}">
              <a16:creationId xmlns:a16="http://schemas.microsoft.com/office/drawing/2014/main" id="{B083872F-1FDA-40EE-A504-8075B6039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3050" y="8648700"/>
          <a:ext cx="7172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59</xdr:row>
      <xdr:rowOff>19050</xdr:rowOff>
    </xdr:from>
    <xdr:to>
      <xdr:col>13</xdr:col>
      <xdr:colOff>466725</xdr:colOff>
      <xdr:row>73</xdr:row>
      <xdr:rowOff>85725</xdr:rowOff>
    </xdr:to>
    <xdr:pic>
      <xdr:nvPicPr>
        <xdr:cNvPr id="3" name="Picture 2">
          <a:extLst>
            <a:ext uri="{FF2B5EF4-FFF2-40B4-BE49-F238E27FC236}">
              <a16:creationId xmlns:a16="http://schemas.microsoft.com/office/drawing/2014/main" id="{83A1D8A7-1670-4EB1-AF5C-4E8F89BC38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3050" y="9801225"/>
          <a:ext cx="717232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52</xdr:row>
      <xdr:rowOff>0</xdr:rowOff>
    </xdr:from>
    <xdr:to>
      <xdr:col>13</xdr:col>
      <xdr:colOff>466725</xdr:colOff>
      <xdr:row>57</xdr:row>
      <xdr:rowOff>85725</xdr:rowOff>
    </xdr:to>
    <xdr:pic>
      <xdr:nvPicPr>
        <xdr:cNvPr id="2" name="Picture 1">
          <a:extLst>
            <a:ext uri="{FF2B5EF4-FFF2-40B4-BE49-F238E27FC236}">
              <a16:creationId xmlns:a16="http://schemas.microsoft.com/office/drawing/2014/main" id="{8646FD75-A322-4EF9-A1C7-BCC0533A34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3050" y="8648700"/>
          <a:ext cx="7172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59</xdr:row>
      <xdr:rowOff>19050</xdr:rowOff>
    </xdr:from>
    <xdr:to>
      <xdr:col>13</xdr:col>
      <xdr:colOff>466725</xdr:colOff>
      <xdr:row>73</xdr:row>
      <xdr:rowOff>85725</xdr:rowOff>
    </xdr:to>
    <xdr:pic>
      <xdr:nvPicPr>
        <xdr:cNvPr id="3" name="Picture 2">
          <a:extLst>
            <a:ext uri="{FF2B5EF4-FFF2-40B4-BE49-F238E27FC236}">
              <a16:creationId xmlns:a16="http://schemas.microsoft.com/office/drawing/2014/main" id="{142A19DD-A334-499F-AA17-509366E797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3050" y="9801225"/>
          <a:ext cx="717232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52</xdr:row>
      <xdr:rowOff>0</xdr:rowOff>
    </xdr:from>
    <xdr:to>
      <xdr:col>13</xdr:col>
      <xdr:colOff>504825</xdr:colOff>
      <xdr:row>57</xdr:row>
      <xdr:rowOff>85725</xdr:rowOff>
    </xdr:to>
    <xdr:pic>
      <xdr:nvPicPr>
        <xdr:cNvPr id="2" name="Picture 1">
          <a:extLst>
            <a:ext uri="{FF2B5EF4-FFF2-40B4-BE49-F238E27FC236}">
              <a16:creationId xmlns:a16="http://schemas.microsoft.com/office/drawing/2014/main" id="{6373C4E5-1E9E-490B-B55A-5D5E423190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3050" y="8648700"/>
          <a:ext cx="7172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59</xdr:row>
      <xdr:rowOff>19050</xdr:rowOff>
    </xdr:from>
    <xdr:to>
      <xdr:col>13</xdr:col>
      <xdr:colOff>504825</xdr:colOff>
      <xdr:row>73</xdr:row>
      <xdr:rowOff>85725</xdr:rowOff>
    </xdr:to>
    <xdr:pic>
      <xdr:nvPicPr>
        <xdr:cNvPr id="3" name="Picture 2">
          <a:extLst>
            <a:ext uri="{FF2B5EF4-FFF2-40B4-BE49-F238E27FC236}">
              <a16:creationId xmlns:a16="http://schemas.microsoft.com/office/drawing/2014/main" id="{AAEC664E-C2C7-467E-8754-EC8D8E2BEA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3050" y="9801225"/>
          <a:ext cx="717232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H@danfoss.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Y46"/>
  <sheetViews>
    <sheetView tabSelected="1" zoomScale="85" zoomScaleNormal="85" workbookViewId="0">
      <pane xSplit="1" ySplit="4" topLeftCell="B5" activePane="bottomRight" state="frozen"/>
      <selection pane="topRight" activeCell="B1" sqref="B1"/>
      <selection pane="bottomLeft" activeCell="A5" sqref="A5"/>
      <selection pane="bottomRight" activeCell="B3" sqref="B3"/>
    </sheetView>
  </sheetViews>
  <sheetFormatPr defaultRowHeight="15" x14ac:dyDescent="0.25"/>
  <cols>
    <col min="1" max="1" width="2.7109375" style="104" customWidth="1"/>
    <col min="2" max="2" width="2.85546875" style="104" customWidth="1"/>
    <col min="3" max="3" width="26.140625" style="104" customWidth="1"/>
    <col min="4" max="4" width="12.7109375" style="104" bestFit="1" customWidth="1"/>
    <col min="5" max="5" width="20.85546875" style="104" customWidth="1"/>
    <col min="6" max="7" width="3.7109375" style="104" customWidth="1"/>
    <col min="8" max="8" width="14" style="104" bestFit="1" customWidth="1"/>
    <col min="9" max="9" width="13.140625" style="104" bestFit="1" customWidth="1"/>
    <col min="10" max="10" width="24.42578125" style="104" customWidth="1"/>
    <col min="11" max="15" width="20.7109375" style="104" customWidth="1"/>
    <col min="16" max="16" width="21.42578125" style="104" customWidth="1"/>
    <col min="17" max="17" width="25.5703125" style="104" customWidth="1"/>
    <col min="18" max="19" width="14.7109375" style="104" bestFit="1" customWidth="1"/>
    <col min="20" max="16384" width="9.140625" style="104"/>
  </cols>
  <sheetData>
    <row r="1" spans="2:22" ht="6.75" customHeight="1" thickBot="1" x14ac:dyDescent="0.3">
      <c r="B1" s="213"/>
      <c r="C1" s="213"/>
      <c r="D1" s="213"/>
      <c r="E1" s="213"/>
      <c r="F1" s="213"/>
      <c r="G1" s="213"/>
      <c r="H1" s="213"/>
      <c r="I1" s="213"/>
      <c r="J1" s="213"/>
      <c r="K1" s="213"/>
      <c r="L1" s="213"/>
      <c r="M1" s="213"/>
      <c r="N1" s="213"/>
      <c r="O1" s="213"/>
      <c r="P1" s="102"/>
      <c r="Q1" s="103"/>
    </row>
    <row r="2" spans="2:22" ht="48.75" customHeight="1" thickBot="1" x14ac:dyDescent="0.3">
      <c r="B2" s="242" t="s">
        <v>156</v>
      </c>
      <c r="C2" s="243"/>
      <c r="D2" s="243"/>
      <c r="E2" s="243"/>
      <c r="F2" s="243"/>
      <c r="G2" s="243"/>
      <c r="H2" s="243"/>
      <c r="I2" s="243"/>
      <c r="J2" s="243"/>
      <c r="K2" s="243"/>
      <c r="L2" s="243"/>
      <c r="M2" s="243"/>
      <c r="N2" s="243"/>
      <c r="O2" s="244"/>
      <c r="P2" s="203" t="s">
        <v>155</v>
      </c>
      <c r="Q2" s="106"/>
      <c r="V2" s="105"/>
    </row>
    <row r="3" spans="2:22" ht="25.5" customHeight="1" thickBot="1" x14ac:dyDescent="0.3">
      <c r="B3" s="108"/>
      <c r="C3" s="107"/>
      <c r="D3" s="107"/>
      <c r="E3" s="107"/>
      <c r="F3" s="139"/>
      <c r="G3" s="107"/>
      <c r="H3" s="239" t="s">
        <v>151</v>
      </c>
      <c r="I3" s="240"/>
      <c r="J3" s="240"/>
      <c r="K3" s="240"/>
      <c r="L3" s="240"/>
      <c r="M3" s="240"/>
      <c r="N3" s="240"/>
      <c r="O3" s="241"/>
      <c r="P3" s="107"/>
      <c r="Q3" s="107"/>
    </row>
    <row r="4" spans="2:22" ht="70.5" customHeight="1" thickBot="1" x14ac:dyDescent="0.3">
      <c r="B4" s="108"/>
      <c r="C4" s="230" t="s">
        <v>2</v>
      </c>
      <c r="D4" s="231"/>
      <c r="E4" s="232"/>
      <c r="F4" s="109"/>
      <c r="G4" s="110"/>
      <c r="H4" s="111" t="s">
        <v>137</v>
      </c>
      <c r="I4" s="111" t="s">
        <v>144</v>
      </c>
      <c r="J4" s="112" t="s">
        <v>129</v>
      </c>
      <c r="K4" s="113" t="s">
        <v>114</v>
      </c>
      <c r="L4" s="113" t="s">
        <v>117</v>
      </c>
      <c r="M4" s="114" t="s">
        <v>115</v>
      </c>
      <c r="N4" s="114" t="s">
        <v>116</v>
      </c>
      <c r="O4" s="113" t="s">
        <v>145</v>
      </c>
      <c r="P4" s="107"/>
      <c r="Q4" s="107"/>
      <c r="S4" s="115"/>
    </row>
    <row r="5" spans="2:22" ht="16.5" customHeight="1" x14ac:dyDescent="0.25">
      <c r="B5" s="108"/>
      <c r="C5" s="116"/>
      <c r="D5" s="116"/>
      <c r="E5" s="116"/>
      <c r="F5" s="109"/>
      <c r="G5" s="117"/>
      <c r="H5" s="236" t="s">
        <v>111</v>
      </c>
      <c r="I5" s="214" t="str">
        <f>"+10%"</f>
        <v>+10%</v>
      </c>
      <c r="J5" s="118" t="s">
        <v>138</v>
      </c>
      <c r="K5" s="119" t="str">
        <f>IF($D$15="Power limit exceeded","",Sheet1!Q5)</f>
        <v/>
      </c>
      <c r="L5" s="120" t="str">
        <f>IF($D$16="Power limit exceeded","",Sheet1!Q16)</f>
        <v/>
      </c>
      <c r="M5" s="119" t="str">
        <f>IF($D$15="Power limit exceeded","",Sheet1!W5)</f>
        <v/>
      </c>
      <c r="N5" s="121" t="str">
        <f>IF($D$16="Power limit exceeded","",Sheet1!W16)</f>
        <v/>
      </c>
      <c r="O5" s="122" t="str">
        <f>IF($D$15="Power limit exceeded","",Sheet1!T57)</f>
        <v/>
      </c>
      <c r="P5" s="107"/>
      <c r="Q5" s="107"/>
      <c r="S5" s="123"/>
    </row>
    <row r="6" spans="2:22" ht="24" customHeight="1" x14ac:dyDescent="0.25">
      <c r="B6" s="108"/>
      <c r="C6" s="233" t="s">
        <v>153</v>
      </c>
      <c r="D6" s="233"/>
      <c r="E6" s="233"/>
      <c r="F6" s="124"/>
      <c r="G6" s="125"/>
      <c r="H6" s="237"/>
      <c r="I6" s="223"/>
      <c r="J6" s="126" t="s">
        <v>148</v>
      </c>
      <c r="K6" s="196" t="str">
        <f>IF(K5="","",$D$10*$D$10/(K7*K7*K5))</f>
        <v/>
      </c>
      <c r="L6" s="196" t="str">
        <f>IF(L5="","",$D$10*$D$10/(L7*L7*L5))</f>
        <v/>
      </c>
      <c r="M6" s="196" t="str">
        <f>IF(M5="","",$D$10*$D$10/(M7*M7*M5))</f>
        <v/>
      </c>
      <c r="N6" s="196" t="str">
        <f>IF(N5="","",$D$10*$D$10/(N7*N7*N5))</f>
        <v/>
      </c>
      <c r="O6" s="197" t="str">
        <f>IF(O5="","",((3*$D$10/SQRT(3))*($D$10/SQRT(3)))/(O7*O7*O5))</f>
        <v/>
      </c>
      <c r="P6" s="107"/>
      <c r="Q6" s="107"/>
    </row>
    <row r="7" spans="2:22" ht="18" customHeight="1" x14ac:dyDescent="0.25">
      <c r="B7" s="108"/>
      <c r="C7" s="129" t="s">
        <v>57</v>
      </c>
      <c r="D7" s="190">
        <v>150</v>
      </c>
      <c r="E7" s="130" t="s">
        <v>58</v>
      </c>
      <c r="F7" s="124"/>
      <c r="G7" s="125"/>
      <c r="H7" s="237"/>
      <c r="I7" s="223"/>
      <c r="J7" s="126" t="s">
        <v>139</v>
      </c>
      <c r="K7" s="131" t="str">
        <f>IF(K5="","",$D$7)</f>
        <v/>
      </c>
      <c r="L7" s="132" t="str">
        <f>IF(L5="","",$D$7*2)</f>
        <v/>
      </c>
      <c r="M7" s="131" t="str">
        <f>IF(M5="","",$D$7)</f>
        <v/>
      </c>
      <c r="N7" s="132" t="str">
        <f>IF(N5="","",$D$7*2)</f>
        <v/>
      </c>
      <c r="O7" s="133" t="str">
        <f>IF(O5="","",$D$7)</f>
        <v/>
      </c>
      <c r="P7" s="134"/>
      <c r="Q7" s="135"/>
      <c r="T7" s="136"/>
    </row>
    <row r="8" spans="2:22" ht="15.75" x14ac:dyDescent="0.25">
      <c r="B8" s="108"/>
      <c r="C8" s="137" t="s">
        <v>105</v>
      </c>
      <c r="D8" s="190">
        <v>10</v>
      </c>
      <c r="E8" s="138" t="s">
        <v>0</v>
      </c>
      <c r="F8" s="139"/>
      <c r="G8" s="140"/>
      <c r="H8" s="237"/>
      <c r="I8" s="223"/>
      <c r="J8" s="126" t="s">
        <v>134</v>
      </c>
      <c r="K8" s="127" t="str">
        <f>IF(K5="","",K6*$D$11/$D$15)</f>
        <v/>
      </c>
      <c r="L8" s="127" t="str">
        <f>IF(L5="","",L6*$D$11/$D$16)</f>
        <v/>
      </c>
      <c r="M8" s="127" t="str">
        <f>IF(M5="","",M6*$D$11/$D$15)</f>
        <v/>
      </c>
      <c r="N8" s="127" t="str">
        <f>IF(N5="","",N6*$D$11/$D$16)</f>
        <v/>
      </c>
      <c r="O8" s="128" t="str">
        <f>IF(O5="","",O6*$D$11/$D$15)</f>
        <v/>
      </c>
      <c r="P8" s="107"/>
      <c r="Q8" s="135"/>
      <c r="T8" s="136"/>
    </row>
    <row r="9" spans="2:22" ht="15.75" x14ac:dyDescent="0.25">
      <c r="B9" s="108"/>
      <c r="C9" s="137" t="s">
        <v>106</v>
      </c>
      <c r="D9" s="225" t="s">
        <v>162</v>
      </c>
      <c r="E9" s="226"/>
      <c r="F9" s="139"/>
      <c r="G9" s="141"/>
      <c r="H9" s="237"/>
      <c r="I9" s="223"/>
      <c r="J9" s="126" t="s">
        <v>135</v>
      </c>
      <c r="K9" s="196" t="str">
        <f>IF(K5="","",K7*K6)</f>
        <v/>
      </c>
      <c r="L9" s="196" t="str">
        <f>IF(L5="","",L7*L6)</f>
        <v/>
      </c>
      <c r="M9" s="196" t="str">
        <f>IF(M5="","",M7*M6)</f>
        <v/>
      </c>
      <c r="N9" s="196" t="str">
        <f>IF(N5="","",N7*N6)</f>
        <v/>
      </c>
      <c r="O9" s="197" t="str">
        <f>IF(O5="","",O7*O6)</f>
        <v/>
      </c>
      <c r="P9" s="107"/>
      <c r="Q9" s="135"/>
      <c r="T9" s="136"/>
    </row>
    <row r="10" spans="2:22" ht="85.5" customHeight="1" thickBot="1" x14ac:dyDescent="0.3">
      <c r="B10" s="108"/>
      <c r="C10" s="137" t="s">
        <v>75</v>
      </c>
      <c r="D10" s="199">
        <v>220</v>
      </c>
      <c r="E10" s="138" t="s">
        <v>76</v>
      </c>
      <c r="F10" s="139"/>
      <c r="G10" s="141"/>
      <c r="H10" s="237"/>
      <c r="I10" s="224"/>
      <c r="J10" s="142" t="s">
        <v>130</v>
      </c>
      <c r="K10" s="143"/>
      <c r="L10" s="144"/>
      <c r="M10" s="143"/>
      <c r="N10" s="145"/>
      <c r="O10" s="146"/>
      <c r="P10" s="107"/>
      <c r="Q10" s="135"/>
      <c r="T10" s="136"/>
    </row>
    <row r="11" spans="2:22" ht="34.5" x14ac:dyDescent="0.25">
      <c r="B11" s="108"/>
      <c r="C11" s="137" t="s">
        <v>1</v>
      </c>
      <c r="D11" s="191">
        <v>1.3</v>
      </c>
      <c r="E11" s="193" t="s">
        <v>67</v>
      </c>
      <c r="F11" s="139"/>
      <c r="G11" s="141"/>
      <c r="H11" s="237"/>
      <c r="I11" s="214" t="str">
        <f>"-33%"</f>
        <v>-33%</v>
      </c>
      <c r="J11" s="118" t="s">
        <v>138</v>
      </c>
      <c r="K11" s="119" t="str">
        <f>IF($D$15="Power limit exceeded","",Sheet1!Q28)</f>
        <v/>
      </c>
      <c r="L11" s="147" t="str">
        <f>IF($D$16="Power limit exceeded","",Sheet1!Q39)</f>
        <v/>
      </c>
      <c r="M11" s="119" t="str">
        <f>IF($D$15="Power limit exceeded","",Sheet1!W28)</f>
        <v/>
      </c>
      <c r="N11" s="121">
        <f>IF($D$16="Power limit exceeded","",Sheet1!W39)</f>
        <v>8.1000000000000003E-2</v>
      </c>
      <c r="O11" s="148" t="str">
        <f>IF($D$15="Power limit exceeded","",Sheet1!T57)</f>
        <v/>
      </c>
      <c r="P11" s="107"/>
      <c r="Q11" s="107"/>
      <c r="T11" s="136"/>
    </row>
    <row r="12" spans="2:22" ht="51" customHeight="1" x14ac:dyDescent="0.25">
      <c r="B12" s="108"/>
      <c r="C12" s="137" t="s">
        <v>136</v>
      </c>
      <c r="D12" s="234" t="s">
        <v>158</v>
      </c>
      <c r="E12" s="235"/>
      <c r="F12" s="139"/>
      <c r="G12" s="141"/>
      <c r="H12" s="237"/>
      <c r="I12" s="215"/>
      <c r="J12" s="126" t="s">
        <v>148</v>
      </c>
      <c r="K12" s="196" t="str">
        <f>IF(K11="","",$D$10*$D$10/(K13*K13*K11))</f>
        <v/>
      </c>
      <c r="L12" s="196" t="str">
        <f>IF(L11="","",$D$10*$D$10/(L13*L13*L11))</f>
        <v/>
      </c>
      <c r="M12" s="196" t="str">
        <f>IF(M11="","",$D$10*$D$10/(M13*M13*M11))</f>
        <v/>
      </c>
      <c r="N12" s="196">
        <f>IF(N11="","",$D$10*$D$10/(N13*N13*N11))</f>
        <v>6.6392318244170099</v>
      </c>
      <c r="O12" s="197" t="str">
        <f>IF(O11="","",(3*($D$10/SQRT(3))*($D$10/SQRT(3)))/(O13*O13*O11))</f>
        <v/>
      </c>
      <c r="P12" s="107"/>
      <c r="Q12" s="107"/>
      <c r="T12" s="136"/>
    </row>
    <row r="13" spans="2:22" ht="17.25" customHeight="1" x14ac:dyDescent="0.25">
      <c r="B13" s="108"/>
      <c r="C13" s="107"/>
      <c r="D13" s="107"/>
      <c r="E13" s="107"/>
      <c r="F13" s="139"/>
      <c r="G13" s="141"/>
      <c r="H13" s="237"/>
      <c r="I13" s="215"/>
      <c r="J13" s="126" t="s">
        <v>139</v>
      </c>
      <c r="K13" s="131" t="str">
        <f>IF(K11="","",$D$7)</f>
        <v/>
      </c>
      <c r="L13" s="132" t="str">
        <f>IF(L11="","",$D$7*2)</f>
        <v/>
      </c>
      <c r="M13" s="131" t="str">
        <f>IF(M11="","",$D$7)</f>
        <v/>
      </c>
      <c r="N13" s="132">
        <f>IF(N11="","",$D$7*2)</f>
        <v>300</v>
      </c>
      <c r="O13" s="133" t="str">
        <f>IF(O11="","",$D$7)</f>
        <v/>
      </c>
      <c r="P13" s="107"/>
      <c r="Q13" s="107"/>
      <c r="T13" s="136"/>
    </row>
    <row r="14" spans="2:22" ht="17.25" customHeight="1" x14ac:dyDescent="0.3">
      <c r="B14" s="108"/>
      <c r="C14" s="227" t="s">
        <v>152</v>
      </c>
      <c r="D14" s="228"/>
      <c r="E14" s="229"/>
      <c r="F14" s="139"/>
      <c r="G14" s="141"/>
      <c r="H14" s="237"/>
      <c r="I14" s="215"/>
      <c r="J14" s="126" t="s">
        <v>134</v>
      </c>
      <c r="K14" s="127" t="str">
        <f>IF(K11="","",K12*$D$11/$D$15)</f>
        <v/>
      </c>
      <c r="L14" s="127" t="str">
        <f>IF(L11="","",L12*$D$11/$D$16)</f>
        <v/>
      </c>
      <c r="M14" s="127" t="str">
        <f>IF(M11="","",M12*$D$11/$D$15)</f>
        <v/>
      </c>
      <c r="N14" s="127">
        <f>IF(N11="","",N12*$D$11/$D$16)</f>
        <v>1.3278463648834022</v>
      </c>
      <c r="O14" s="128" t="str">
        <f>IF(O11="","",O12*$D$11/$D$15)</f>
        <v/>
      </c>
      <c r="P14" s="107"/>
      <c r="Q14" s="107"/>
      <c r="T14" s="136"/>
    </row>
    <row r="15" spans="2:22" ht="47.25" x14ac:dyDescent="0.25">
      <c r="B15" s="108"/>
      <c r="C15" s="149" t="s">
        <v>146</v>
      </c>
      <c r="D15" s="194">
        <f>IF(AND($D$12="On plastic pipe under insulation, max. 10 W/m",$D$8*1.3&lt;=10),$D$11*$D$8,IF(AND($D$12="On metal pipe under insulation, max. 20 W/m",$D$8*1.3&lt;=20),$D$11*$D$8,IF(AND($D$12="In water pipe (enclosed by water), max. 30 W/m",$D$8*1.3&lt;=30),$D$11*$D$8,IF(AND($D$12="In concrete, max. 30 W/m",$D$8*1.3&lt;=30),$D$11*$D$8,IF(AND($D$12="In concrete or without direct air contact, max. 30 W/m",$D$8*1.3&lt;=30),$D$11*$D$8,IF(AND($D$12="In a drain pipe, max. 15 W/m",$D$8*1.3&lt;=15),$D$11*$D$8,"Power limit exceeded"))))))</f>
        <v>13</v>
      </c>
      <c r="E15" s="150" t="s">
        <v>0</v>
      </c>
      <c r="F15" s="139"/>
      <c r="G15" s="141"/>
      <c r="H15" s="237"/>
      <c r="I15" s="215"/>
      <c r="J15" s="126" t="s">
        <v>135</v>
      </c>
      <c r="K15" s="196" t="str">
        <f>IF(K11="","",K13*K12)</f>
        <v/>
      </c>
      <c r="L15" s="196" t="str">
        <f>IF(L11="","",L13*L12)</f>
        <v/>
      </c>
      <c r="M15" s="196" t="str">
        <f>IF(M11="","",M13*M12)</f>
        <v/>
      </c>
      <c r="N15" s="196">
        <f>IF(N11="","",N13*N12)</f>
        <v>1991.7695473251028</v>
      </c>
      <c r="O15" s="197" t="str">
        <f>IF(O11="","",O13*O12)</f>
        <v/>
      </c>
      <c r="P15" s="107"/>
      <c r="Q15" s="107"/>
      <c r="T15" s="136"/>
    </row>
    <row r="16" spans="2:22" ht="85.5" customHeight="1" thickBot="1" x14ac:dyDescent="0.3">
      <c r="B16" s="108"/>
      <c r="C16" s="149" t="s">
        <v>147</v>
      </c>
      <c r="D16" s="194">
        <f>IF(AND($D$12="On plastic pipe under insulation, max. 10 W/m",$D$8*1.3/2&lt;=10),$D$11*$D$8/2,IF(AND($D$12="On metal pipe under insulation, max. 20 W/m",$D$8*1.3/2&lt;=20),$D$11*$D$8/2,IF(AND($D$12="In water pipe (enclosed by water), max. 30 W/m",$D$8*1.3/2&lt;=30),$D$11*$D$8/2,IF(AND($D$12="In concrete, max. 30 W/m",$D$8*1.3/2&lt;=30),$D$11*$D$8/2,IF(AND($D$12="In concrete or without direct air contact, max. 30 W/m",$D$8*1.3/2&lt;=30),$D$11*$D$8/2,IF(AND($D$12="In a drain pipe, max. 15 W/m",$D$8*1.3/2&lt;=15),$D$11*$D$8/2,"Power limit exceeded"))))))</f>
        <v>6.5</v>
      </c>
      <c r="E16" s="150" t="s">
        <v>0</v>
      </c>
      <c r="F16" s="139"/>
      <c r="G16" s="141"/>
      <c r="H16" s="238"/>
      <c r="I16" s="216"/>
      <c r="J16" s="142" t="s">
        <v>130</v>
      </c>
      <c r="K16" s="143"/>
      <c r="L16" s="144" t="s">
        <v>143</v>
      </c>
      <c r="M16" s="143"/>
      <c r="N16" s="145"/>
      <c r="O16" s="148"/>
      <c r="P16" s="107"/>
      <c r="Q16" s="107"/>
      <c r="T16" s="136"/>
    </row>
    <row r="17" spans="2:25" ht="34.5" x14ac:dyDescent="0.25">
      <c r="B17" s="108"/>
      <c r="C17" s="151"/>
      <c r="D17" s="152"/>
      <c r="E17" s="153"/>
      <c r="F17" s="139"/>
      <c r="G17" s="141"/>
      <c r="H17" s="220" t="s">
        <v>112</v>
      </c>
      <c r="I17" s="217" t="str">
        <f>"+10%"</f>
        <v>+10%</v>
      </c>
      <c r="J17" s="154" t="s">
        <v>141</v>
      </c>
      <c r="K17" s="119" t="str">
        <f>IF($D$15="Power limit exceeded","",Sheet4!Q5)</f>
        <v/>
      </c>
      <c r="L17" s="121" t="str">
        <f>IF($D$16="Power limit exceeded","",Sheet4!Q16)</f>
        <v/>
      </c>
      <c r="M17" s="119" t="str">
        <f>IF($D$15="Power limit exceeded","",Sheet4!W5)</f>
        <v/>
      </c>
      <c r="N17" s="121" t="str">
        <f>IF($D$16="Power limit exceeded","",Sheet4!W16)</f>
        <v/>
      </c>
      <c r="O17" s="122" t="str">
        <f>IF($D$15="Power limit exceeded","",Sheet4!R56)</f>
        <v/>
      </c>
      <c r="P17" s="107"/>
      <c r="Q17" s="107"/>
      <c r="T17" s="136"/>
    </row>
    <row r="18" spans="2:25" ht="15.75" customHeight="1" x14ac:dyDescent="0.25">
      <c r="B18" s="108"/>
      <c r="C18" s="155" t="s">
        <v>110</v>
      </c>
      <c r="D18" s="195">
        <f>$D$10*$D$10/($D$7*$D$7*$D$15)</f>
        <v>0.16547008547008546</v>
      </c>
      <c r="E18" s="156" t="s">
        <v>109</v>
      </c>
      <c r="F18" s="139"/>
      <c r="G18" s="107"/>
      <c r="H18" s="221"/>
      <c r="I18" s="218"/>
      <c r="J18" s="157" t="s">
        <v>148</v>
      </c>
      <c r="K18" s="196" t="str">
        <f>IF(K17="","",$D$10*$D$10/(K19*K19*K17))</f>
        <v/>
      </c>
      <c r="L18" s="196" t="str">
        <f>IF(L17="","",$D$10*$D$10/(L19*L19*L17))</f>
        <v/>
      </c>
      <c r="M18" s="196" t="str">
        <f>IF(M17="","",$D$10*$D$10/(M19*M19*M17))</f>
        <v/>
      </c>
      <c r="N18" s="196" t="str">
        <f>IF(N17="","",$D$10*$D$10/(N19*N19*N17))</f>
        <v/>
      </c>
      <c r="O18" s="197" t="str">
        <f>IF(O17="","",(3*($D$10/SQRT(3))*($D$10/SQRT(3)))/(O19*O19*O17))</f>
        <v/>
      </c>
      <c r="P18" s="107"/>
      <c r="Q18" s="107"/>
    </row>
    <row r="19" spans="2:25" ht="15.75" customHeight="1" x14ac:dyDescent="0.25">
      <c r="B19" s="108"/>
      <c r="C19" s="155" t="s">
        <v>131</v>
      </c>
      <c r="D19" s="195">
        <f>($D$10)*($D$10)/(4*$D$7*$D$7*$D$16)</f>
        <v>8.273504273504273E-2</v>
      </c>
      <c r="E19" s="156" t="s">
        <v>109</v>
      </c>
      <c r="F19" s="139"/>
      <c r="G19" s="107"/>
      <c r="H19" s="221"/>
      <c r="I19" s="218"/>
      <c r="J19" s="157" t="s">
        <v>139</v>
      </c>
      <c r="K19" s="131" t="str">
        <f>IF(K17="","",$D$7)</f>
        <v/>
      </c>
      <c r="L19" s="132" t="str">
        <f>IF(L17="","",$D$7*2)</f>
        <v/>
      </c>
      <c r="M19" s="131" t="str">
        <f>IF(M17="","",$D$7)</f>
        <v/>
      </c>
      <c r="N19" s="132" t="str">
        <f>IF(N17="","",$D$7*2)</f>
        <v/>
      </c>
      <c r="O19" s="133" t="str">
        <f>IF(O17="","",$D$7)</f>
        <v/>
      </c>
      <c r="P19" s="107"/>
      <c r="Q19" s="107"/>
    </row>
    <row r="20" spans="2:25" ht="15.75" customHeight="1" x14ac:dyDescent="0.25">
      <c r="B20" s="108"/>
      <c r="C20" s="155"/>
      <c r="D20" s="158"/>
      <c r="E20" s="159"/>
      <c r="F20" s="139"/>
      <c r="G20" s="107"/>
      <c r="H20" s="221"/>
      <c r="I20" s="218"/>
      <c r="J20" s="157" t="s">
        <v>134</v>
      </c>
      <c r="K20" s="127" t="str">
        <f>IF(K17="","",K18*$D$11/$D$15)</f>
        <v/>
      </c>
      <c r="L20" s="127" t="str">
        <f>IF(L17="","",L18*$D$11/$D$16)</f>
        <v/>
      </c>
      <c r="M20" s="127" t="str">
        <f>IF(M17="","",M18*$D$11/$D$15)</f>
        <v/>
      </c>
      <c r="N20" s="127" t="str">
        <f>IF(N17="","",N18*$D$11/$D$16)</f>
        <v/>
      </c>
      <c r="O20" s="128" t="str">
        <f>IF(O17="","",O18*$D$11/$D$15)</f>
        <v/>
      </c>
      <c r="P20" s="107"/>
      <c r="Q20" s="107"/>
    </row>
    <row r="21" spans="2:25" ht="17.25" customHeight="1" x14ac:dyDescent="0.25">
      <c r="B21" s="108"/>
      <c r="C21" s="160"/>
      <c r="D21" s="116"/>
      <c r="E21" s="160"/>
      <c r="F21" s="139"/>
      <c r="G21" s="107"/>
      <c r="H21" s="221"/>
      <c r="I21" s="218"/>
      <c r="J21" s="157" t="s">
        <v>135</v>
      </c>
      <c r="K21" s="196" t="str">
        <f>IF(K17="","",K19*K18)</f>
        <v/>
      </c>
      <c r="L21" s="196" t="str">
        <f t="shared" ref="L21:N21" si="0">IF(L17="","",L19*L18)</f>
        <v/>
      </c>
      <c r="M21" s="196" t="str">
        <f t="shared" si="0"/>
        <v/>
      </c>
      <c r="N21" s="196" t="str">
        <f t="shared" si="0"/>
        <v/>
      </c>
      <c r="O21" s="197" t="str">
        <f>IF(O17="","",O19*O18)</f>
        <v/>
      </c>
      <c r="P21" s="107"/>
      <c r="Q21" s="107"/>
    </row>
    <row r="22" spans="2:25" ht="85.5" customHeight="1" thickBot="1" x14ac:dyDescent="0.3">
      <c r="B22" s="108"/>
      <c r="C22" s="202"/>
      <c r="D22" s="202"/>
      <c r="E22" s="202"/>
      <c r="F22" s="139"/>
      <c r="G22" s="117"/>
      <c r="H22" s="221"/>
      <c r="I22" s="219"/>
      <c r="J22" s="161" t="s">
        <v>130</v>
      </c>
      <c r="K22" s="143"/>
      <c r="L22" s="145"/>
      <c r="M22" s="143"/>
      <c r="N22" s="145"/>
      <c r="O22" s="146"/>
      <c r="P22" s="162"/>
      <c r="Q22" s="162"/>
      <c r="R22" s="117"/>
      <c r="S22" s="117"/>
      <c r="T22" s="117"/>
      <c r="U22" s="117"/>
      <c r="V22" s="117"/>
      <c r="W22" s="117"/>
      <c r="X22" s="117"/>
      <c r="Y22" s="107"/>
    </row>
    <row r="23" spans="2:25" ht="34.5" x14ac:dyDescent="0.25">
      <c r="B23" s="108"/>
      <c r="C23" s="202"/>
      <c r="D23" s="202"/>
      <c r="E23" s="202"/>
      <c r="F23" s="139"/>
      <c r="G23" s="117"/>
      <c r="H23" s="221"/>
      <c r="I23" s="217" t="str">
        <f>"-33%"</f>
        <v>-33%</v>
      </c>
      <c r="J23" s="154" t="s">
        <v>141</v>
      </c>
      <c r="K23" s="131" t="str">
        <f>IF($D$15="Power limit exceeded","",Sheet4!Q27)</f>
        <v/>
      </c>
      <c r="L23" s="163" t="str">
        <f>IF($D$16="Power limit exceeded","",Sheet4!Q38)</f>
        <v/>
      </c>
      <c r="M23" s="131" t="str">
        <f>IF($D$15="Power limit exceeded","",Sheet4!W27)</f>
        <v/>
      </c>
      <c r="N23" s="163">
        <f>IF($D$16="Power limit exceeded","",Sheet4!W38)</f>
        <v>7.3300000000000004E-2</v>
      </c>
      <c r="O23" s="164">
        <f>IF($D$15="Power limit exceeded","",Sheet4!R50)</f>
        <v>0.22</v>
      </c>
      <c r="P23" s="162"/>
      <c r="Q23" s="162"/>
      <c r="R23" s="117"/>
      <c r="S23" s="117"/>
      <c r="T23" s="117"/>
      <c r="U23" s="117"/>
      <c r="V23" s="117"/>
      <c r="W23" s="117"/>
      <c r="X23" s="117"/>
      <c r="Y23" s="107"/>
    </row>
    <row r="24" spans="2:25" s="170" customFormat="1" ht="18" customHeight="1" x14ac:dyDescent="0.25">
      <c r="B24" s="165"/>
      <c r="C24" s="202"/>
      <c r="D24" s="202"/>
      <c r="E24" s="202"/>
      <c r="F24" s="166"/>
      <c r="G24" s="167"/>
      <c r="H24" s="221"/>
      <c r="I24" s="218"/>
      <c r="J24" s="157" t="s">
        <v>148</v>
      </c>
      <c r="K24" s="196" t="str">
        <f>IF(K23="","",$D$10*$D$10/(K25*K25*K23))</f>
        <v/>
      </c>
      <c r="L24" s="196" t="str">
        <f>IF(L23="","",$D$10*$D$10/(L25*L25*L23))</f>
        <v/>
      </c>
      <c r="M24" s="196" t="str">
        <f>IF(M23="","",$D$10*$D$10/(M25*M25*M23))</f>
        <v/>
      </c>
      <c r="N24" s="196">
        <f>IF(N23="","",$D$10*$D$10/(N25*N25*N23))</f>
        <v>7.3366681825072</v>
      </c>
      <c r="O24" s="197">
        <f>IF(O23="","",(3*($D$10/SQRT(3))*($D$10/SQRT(3)))/(O25*O25*O23))</f>
        <v>9.7777777777777786</v>
      </c>
      <c r="P24" s="168"/>
      <c r="Q24" s="168"/>
      <c r="R24" s="167"/>
      <c r="S24" s="167"/>
      <c r="T24" s="167"/>
      <c r="U24" s="167"/>
      <c r="V24" s="167"/>
      <c r="W24" s="167"/>
      <c r="X24" s="167"/>
      <c r="Y24" s="169"/>
    </row>
    <row r="25" spans="2:25" ht="15.75" customHeight="1" x14ac:dyDescent="0.25">
      <c r="B25" s="108"/>
      <c r="C25" s="202"/>
      <c r="D25" s="202"/>
      <c r="E25" s="202"/>
      <c r="F25" s="139"/>
      <c r="G25" s="125"/>
      <c r="H25" s="221"/>
      <c r="I25" s="218"/>
      <c r="J25" s="157" t="s">
        <v>139</v>
      </c>
      <c r="K25" s="131" t="str">
        <f>IF(K23="","",$D$7)</f>
        <v/>
      </c>
      <c r="L25" s="132" t="str">
        <f>IF(L23="","",$D$7*2)</f>
        <v/>
      </c>
      <c r="M25" s="131" t="str">
        <f>IF(M23="","",$D$7)</f>
        <v/>
      </c>
      <c r="N25" s="132">
        <f>IF(N23="","",$D$7*2)</f>
        <v>300</v>
      </c>
      <c r="O25" s="133">
        <f>IF(O23="","",$D$7)</f>
        <v>150</v>
      </c>
      <c r="P25" s="171"/>
      <c r="Q25" s="171"/>
      <c r="R25" s="141"/>
      <c r="S25" s="141"/>
      <c r="T25" s="141"/>
      <c r="U25" s="141"/>
      <c r="V25" s="172"/>
      <c r="W25" s="172"/>
      <c r="X25" s="172"/>
      <c r="Y25" s="107"/>
    </row>
    <row r="26" spans="2:25" ht="15.75" customHeight="1" x14ac:dyDescent="0.25">
      <c r="B26" s="108"/>
      <c r="C26" s="202"/>
      <c r="D26" s="202"/>
      <c r="E26" s="202"/>
      <c r="F26" s="139"/>
      <c r="G26" s="125"/>
      <c r="H26" s="221"/>
      <c r="I26" s="218"/>
      <c r="J26" s="157" t="s">
        <v>134</v>
      </c>
      <c r="K26" s="127" t="str">
        <f>IF(K23="","",K24*$D$11/$D$15)</f>
        <v/>
      </c>
      <c r="L26" s="127" t="str">
        <f>IF(L23="","",L24*$D$11/$D$16)</f>
        <v/>
      </c>
      <c r="M26" s="127" t="str">
        <f>IF(M23="","",M24*$D$11/$D$15)</f>
        <v/>
      </c>
      <c r="N26" s="127">
        <f>IF(N23="","",N24*$D$11/$D$16)</f>
        <v>1.46733363650144</v>
      </c>
      <c r="O26" s="128">
        <f>IF(O23="","",O24*$D$11/$D$15)</f>
        <v>0.97777777777777786</v>
      </c>
      <c r="P26" s="171"/>
      <c r="Q26" s="171"/>
      <c r="R26" s="141"/>
      <c r="S26" s="141"/>
      <c r="T26" s="141"/>
      <c r="U26" s="141"/>
      <c r="V26" s="172"/>
      <c r="W26" s="172"/>
      <c r="X26" s="172"/>
      <c r="Y26" s="107"/>
    </row>
    <row r="27" spans="2:25" ht="15.75" customHeight="1" x14ac:dyDescent="0.25">
      <c r="B27" s="108"/>
      <c r="C27" s="202"/>
      <c r="D27" s="202"/>
      <c r="E27" s="202"/>
      <c r="F27" s="139"/>
      <c r="G27" s="125"/>
      <c r="H27" s="221"/>
      <c r="I27" s="218"/>
      <c r="J27" s="157" t="s">
        <v>135</v>
      </c>
      <c r="K27" s="196" t="str">
        <f>IF(K23="","",K25*K24)</f>
        <v/>
      </c>
      <c r="L27" s="196" t="str">
        <f t="shared" ref="L27:N27" si="1">IF(L23="","",L25*L24)</f>
        <v/>
      </c>
      <c r="M27" s="196" t="str">
        <f>IF(M23="","",M25*M24)</f>
        <v/>
      </c>
      <c r="N27" s="196">
        <f t="shared" si="1"/>
        <v>2201.0004547521598</v>
      </c>
      <c r="O27" s="197">
        <f>IF(O23="","",O25*O24)</f>
        <v>1466.6666666666667</v>
      </c>
      <c r="P27" s="171"/>
      <c r="Q27" s="171"/>
      <c r="R27" s="141"/>
      <c r="S27" s="141"/>
      <c r="T27" s="141"/>
      <c r="U27" s="141"/>
      <c r="V27" s="172"/>
      <c r="W27" s="172"/>
      <c r="X27" s="172"/>
      <c r="Y27" s="107"/>
    </row>
    <row r="28" spans="2:25" ht="85.5" customHeight="1" thickBot="1" x14ac:dyDescent="0.3">
      <c r="B28" s="108"/>
      <c r="C28" s="202"/>
      <c r="D28" s="202"/>
      <c r="E28" s="202"/>
      <c r="F28" s="139"/>
      <c r="G28" s="125"/>
      <c r="H28" s="222"/>
      <c r="I28" s="219"/>
      <c r="J28" s="161" t="s">
        <v>130</v>
      </c>
      <c r="K28" s="131"/>
      <c r="L28" s="163"/>
      <c r="M28" s="131"/>
      <c r="N28" s="163"/>
      <c r="O28" s="148"/>
      <c r="P28" s="171"/>
      <c r="Q28" s="171"/>
      <c r="R28" s="141"/>
      <c r="S28" s="141"/>
      <c r="T28" s="141"/>
      <c r="U28" s="141"/>
      <c r="V28" s="172"/>
      <c r="W28" s="172"/>
      <c r="X28" s="172"/>
      <c r="Y28" s="107"/>
    </row>
    <row r="29" spans="2:25" ht="34.5" x14ac:dyDescent="0.25">
      <c r="B29" s="108"/>
      <c r="C29" s="202"/>
      <c r="D29" s="202"/>
      <c r="E29" s="202"/>
      <c r="F29" s="139"/>
      <c r="G29" s="125"/>
      <c r="H29" s="208" t="s">
        <v>113</v>
      </c>
      <c r="I29" s="205" t="str">
        <f>"+10%"</f>
        <v>+10%</v>
      </c>
      <c r="J29" s="173" t="s">
        <v>140</v>
      </c>
      <c r="K29" s="174" t="str">
        <f>IF($D$15="Power limit exceeded","",Sheet5!Q5)</f>
        <v/>
      </c>
      <c r="L29" s="147" t="str">
        <f>IF($D$16="Power limit exceeded","",Sheet5!Q16)</f>
        <v/>
      </c>
      <c r="M29" s="119" t="str">
        <f>IF($D$15="Power limit exceeded","",Sheet5!W5)</f>
        <v/>
      </c>
      <c r="N29" s="121" t="str">
        <f>IF($D$16="Power limit exceeded","",Sheet5!W16)</f>
        <v/>
      </c>
      <c r="O29" s="122" t="str">
        <f>IF($D$15="Power limit exceeded","",Sheet5!R56)</f>
        <v/>
      </c>
      <c r="P29" s="171"/>
      <c r="Q29" s="171"/>
      <c r="R29" s="141"/>
      <c r="S29" s="141"/>
      <c r="T29" s="141"/>
      <c r="U29" s="141"/>
      <c r="V29" s="172"/>
      <c r="W29" s="172"/>
      <c r="X29" s="172"/>
      <c r="Y29" s="107"/>
    </row>
    <row r="30" spans="2:25" ht="18" customHeight="1" x14ac:dyDescent="0.25">
      <c r="B30" s="108"/>
      <c r="C30" s="202"/>
      <c r="D30" s="202"/>
      <c r="E30" s="202"/>
      <c r="F30" s="139"/>
      <c r="G30" s="125"/>
      <c r="H30" s="209"/>
      <c r="I30" s="206"/>
      <c r="J30" s="175" t="s">
        <v>148</v>
      </c>
      <c r="K30" s="196" t="str">
        <f>IF(K29="","",$D$10*$D$10/(K31*K31*K29))</f>
        <v/>
      </c>
      <c r="L30" s="196" t="str">
        <f>IF(L29="","",$D$10*$D$10/(L31*L31*L29))</f>
        <v/>
      </c>
      <c r="M30" s="196" t="str">
        <f>IF(M29="","",$D$10*$D$10/(M31*M31*M29))</f>
        <v/>
      </c>
      <c r="N30" s="196" t="str">
        <f>IF(N29="","",$D$10*$D$10/(N31*N31*N29))</f>
        <v/>
      </c>
      <c r="O30" s="197" t="str">
        <f>IF(O29="","",(3*($D$10/SQRT(3))*($D$10/SQRT(3)))/(O31*O31*O29))</f>
        <v/>
      </c>
      <c r="P30" s="171"/>
      <c r="Q30" s="171"/>
      <c r="R30" s="141"/>
      <c r="S30" s="141"/>
      <c r="T30" s="141"/>
      <c r="U30" s="141"/>
      <c r="V30" s="172"/>
      <c r="W30" s="172"/>
      <c r="X30" s="172"/>
      <c r="Y30" s="107"/>
    </row>
    <row r="31" spans="2:25" ht="16.5" customHeight="1" x14ac:dyDescent="0.25">
      <c r="B31" s="108"/>
      <c r="C31" s="202"/>
      <c r="D31" s="202"/>
      <c r="E31" s="202"/>
      <c r="F31" s="139"/>
      <c r="G31" s="125"/>
      <c r="H31" s="209"/>
      <c r="I31" s="206"/>
      <c r="J31" s="175" t="s">
        <v>139</v>
      </c>
      <c r="K31" s="131" t="str">
        <f>IF(K29="","",$D$7)</f>
        <v/>
      </c>
      <c r="L31" s="132" t="str">
        <f>IF(L29="","",$D$7*2)</f>
        <v/>
      </c>
      <c r="M31" s="131" t="str">
        <f>IF(M29="","",$D$7)</f>
        <v/>
      </c>
      <c r="N31" s="132" t="str">
        <f>IF(N29="","",$D$7*2)</f>
        <v/>
      </c>
      <c r="O31" s="133" t="str">
        <f>IF(O29="","",$D$7)</f>
        <v/>
      </c>
      <c r="P31" s="171"/>
      <c r="Q31" s="171"/>
      <c r="R31" s="141"/>
      <c r="S31" s="141"/>
      <c r="T31" s="141"/>
      <c r="U31" s="141"/>
      <c r="V31" s="172"/>
      <c r="W31" s="172"/>
      <c r="X31" s="172"/>
      <c r="Y31" s="107"/>
    </row>
    <row r="32" spans="2:25" ht="15.75" customHeight="1" x14ac:dyDescent="0.25">
      <c r="B32" s="108"/>
      <c r="C32" s="202"/>
      <c r="D32" s="202"/>
      <c r="E32" s="202"/>
      <c r="F32" s="139"/>
      <c r="G32" s="125"/>
      <c r="H32" s="209"/>
      <c r="I32" s="206"/>
      <c r="J32" s="175" t="s">
        <v>134</v>
      </c>
      <c r="K32" s="127" t="str">
        <f>IF(K29="","",K30*$D$11/$D$15)</f>
        <v/>
      </c>
      <c r="L32" s="127" t="str">
        <f>IF(L29="","",L30*$D$11/$D$16)</f>
        <v/>
      </c>
      <c r="M32" s="127" t="str">
        <f>IF(M29="","",M30*$D$11/$D$15)</f>
        <v/>
      </c>
      <c r="N32" s="127" t="str">
        <f>IF(N29="","",N30*$D$11/$D$16)</f>
        <v/>
      </c>
      <c r="O32" s="128" t="str">
        <f>IF(O29="","",O30*$D$11/$D$15)</f>
        <v/>
      </c>
      <c r="P32" s="176"/>
      <c r="Q32" s="177"/>
      <c r="R32" s="172"/>
      <c r="S32" s="172"/>
      <c r="T32" s="172"/>
      <c r="U32" s="172"/>
      <c r="V32" s="172"/>
      <c r="W32" s="172"/>
      <c r="X32" s="172"/>
      <c r="Y32" s="107"/>
    </row>
    <row r="33" spans="2:25" ht="16.5" customHeight="1" x14ac:dyDescent="0.25">
      <c r="B33" s="108"/>
      <c r="C33" s="202"/>
      <c r="D33" s="202"/>
      <c r="E33" s="202"/>
      <c r="F33" s="139"/>
      <c r="G33" s="125"/>
      <c r="H33" s="209"/>
      <c r="I33" s="206"/>
      <c r="J33" s="175" t="s">
        <v>135</v>
      </c>
      <c r="K33" s="196" t="str">
        <f>IF(K29="","",K31*K30)</f>
        <v/>
      </c>
      <c r="L33" s="196" t="str">
        <f t="shared" ref="L33:N33" si="2">IF(L29="","",L31*L30)</f>
        <v/>
      </c>
      <c r="M33" s="196" t="str">
        <f t="shared" si="2"/>
        <v/>
      </c>
      <c r="N33" s="196" t="str">
        <f t="shared" si="2"/>
        <v/>
      </c>
      <c r="O33" s="197" t="str">
        <f>IF(O29="","",O31*O30)</f>
        <v/>
      </c>
      <c r="P33" s="177"/>
      <c r="Q33" s="177"/>
      <c r="R33" s="172"/>
      <c r="S33" s="172"/>
      <c r="T33" s="172"/>
      <c r="U33" s="172"/>
      <c r="V33" s="172"/>
      <c r="W33" s="172"/>
      <c r="X33" s="172"/>
      <c r="Y33" s="107"/>
    </row>
    <row r="34" spans="2:25" ht="85.5" customHeight="1" thickBot="1" x14ac:dyDescent="0.3">
      <c r="B34" s="108"/>
      <c r="C34" s="202"/>
      <c r="D34" s="202"/>
      <c r="E34" s="202"/>
      <c r="F34" s="139"/>
      <c r="G34" s="178"/>
      <c r="H34" s="209"/>
      <c r="I34" s="207"/>
      <c r="J34" s="179" t="s">
        <v>130</v>
      </c>
      <c r="K34" s="143"/>
      <c r="L34" s="145"/>
      <c r="M34" s="143"/>
      <c r="N34" s="145"/>
      <c r="O34" s="146"/>
      <c r="P34" s="107"/>
      <c r="Q34" s="107"/>
      <c r="R34" s="107"/>
      <c r="S34" s="107"/>
      <c r="T34" s="107"/>
      <c r="U34" s="107"/>
      <c r="V34" s="107"/>
      <c r="W34" s="107"/>
      <c r="X34" s="107"/>
      <c r="Y34" s="107"/>
    </row>
    <row r="35" spans="2:25" ht="34.5" x14ac:dyDescent="0.25">
      <c r="B35" s="108"/>
      <c r="C35" s="202"/>
      <c r="D35" s="202"/>
      <c r="E35" s="202"/>
      <c r="F35" s="139"/>
      <c r="G35" s="178"/>
      <c r="H35" s="209"/>
      <c r="I35" s="205" t="str">
        <f>"-33%"</f>
        <v>-33%</v>
      </c>
      <c r="J35" s="173" t="s">
        <v>140</v>
      </c>
      <c r="K35" s="180" t="str">
        <f>IF($D$15="Power limit exceeded","",Sheet5!Q28)</f>
        <v/>
      </c>
      <c r="L35" s="180" t="str">
        <f>IF($D$16="Power limit exceeded","",Sheet5!Q39)</f>
        <v/>
      </c>
      <c r="M35" s="181" t="str">
        <f>IF($D$15="Power limit exceeded","",Sheet5!W28)</f>
        <v/>
      </c>
      <c r="N35" s="180" t="str">
        <f>IF($D$16="Power limit exceeded","",Sheet5!W39)</f>
        <v/>
      </c>
      <c r="O35" s="192" t="str">
        <f>IF($D$15="Power limit exceeded","",Sheet5!R50)</f>
        <v/>
      </c>
      <c r="P35" s="107"/>
      <c r="Q35" s="107"/>
      <c r="R35" s="107"/>
      <c r="S35" s="107"/>
      <c r="T35" s="107"/>
      <c r="U35" s="107"/>
      <c r="V35" s="107"/>
      <c r="W35" s="107"/>
      <c r="X35" s="107"/>
      <c r="Y35" s="107"/>
    </row>
    <row r="36" spans="2:25" ht="18" customHeight="1" x14ac:dyDescent="0.25">
      <c r="B36" s="108"/>
      <c r="C36" s="202"/>
      <c r="D36" s="202"/>
      <c r="E36" s="202"/>
      <c r="F36" s="139"/>
      <c r="G36" s="178"/>
      <c r="H36" s="209"/>
      <c r="I36" s="206"/>
      <c r="J36" s="175" t="s">
        <v>148</v>
      </c>
      <c r="K36" s="196" t="str">
        <f>IF(K35="","",$D$10*$D$10/(K37*K37*K35))</f>
        <v/>
      </c>
      <c r="L36" s="196" t="str">
        <f>IF(L35="","",$D$10*$D$10/(L37*L37*L35))</f>
        <v/>
      </c>
      <c r="M36" s="198" t="str">
        <f>IF(M35="","",$D$10*$D$10/(M37*M37*M35))</f>
        <v/>
      </c>
      <c r="N36" s="196" t="str">
        <f>IF(N35="","",$D$10*$D$10/(N37*N37*N35))</f>
        <v/>
      </c>
      <c r="O36" s="197" t="str">
        <f>IF(O35="","",(3*($D$10/SQRT(3))*($D$10/SQRT(3)))/(O37*O37*O35))</f>
        <v/>
      </c>
      <c r="P36" s="107"/>
      <c r="Q36" s="107"/>
      <c r="R36" s="107"/>
      <c r="S36" s="107"/>
      <c r="T36" s="107"/>
      <c r="U36" s="107"/>
      <c r="V36" s="107"/>
      <c r="W36" s="107"/>
      <c r="X36" s="107"/>
      <c r="Y36" s="107"/>
    </row>
    <row r="37" spans="2:25" ht="15.75" customHeight="1" x14ac:dyDescent="0.25">
      <c r="B37" s="108"/>
      <c r="C37" s="107"/>
      <c r="D37" s="107"/>
      <c r="E37" s="107"/>
      <c r="F37" s="139"/>
      <c r="G37" s="107"/>
      <c r="H37" s="209"/>
      <c r="I37" s="206"/>
      <c r="J37" s="175" t="s">
        <v>139</v>
      </c>
      <c r="K37" s="131" t="str">
        <f>IF(K35="","",$D$7)</f>
        <v/>
      </c>
      <c r="L37" s="132" t="str">
        <f>IF(L35="","",$D$7*2)</f>
        <v/>
      </c>
      <c r="M37" s="182" t="str">
        <f>IF(M35="","",$D$7)</f>
        <v/>
      </c>
      <c r="N37" s="132" t="str">
        <f>IF(N35="","",$D$7*2)</f>
        <v/>
      </c>
      <c r="O37" s="133" t="str">
        <f>IF(O35="","",$D$7)</f>
        <v/>
      </c>
      <c r="P37" s="162"/>
      <c r="Q37" s="162"/>
      <c r="R37" s="107"/>
    </row>
    <row r="38" spans="2:25" ht="15.75" x14ac:dyDescent="0.25">
      <c r="B38" s="108"/>
      <c r="C38" s="107"/>
      <c r="D38" s="107"/>
      <c r="E38" s="107"/>
      <c r="F38" s="139"/>
      <c r="G38" s="107"/>
      <c r="H38" s="209"/>
      <c r="I38" s="206"/>
      <c r="J38" s="175" t="s">
        <v>134</v>
      </c>
      <c r="K38" s="127" t="str">
        <f>IF(K35="","",K36*$D$11/$D$15)</f>
        <v/>
      </c>
      <c r="L38" s="127" t="str">
        <f>IF(L35="","",L36*$D$11/$D$16)</f>
        <v/>
      </c>
      <c r="M38" s="127" t="str">
        <f>IF(M35="","",M36*$D$11/$D$15)</f>
        <v/>
      </c>
      <c r="N38" s="127" t="str">
        <f>IF(N35="","",N36*$D$11/$D$16)</f>
        <v/>
      </c>
      <c r="O38" s="128" t="str">
        <f>IF(O35="","",O36*$D$11/$D$15)</f>
        <v/>
      </c>
      <c r="P38" s="171"/>
      <c r="Q38" s="171"/>
      <c r="R38" s="107"/>
    </row>
    <row r="39" spans="2:25" ht="15.75" x14ac:dyDescent="0.25">
      <c r="B39" s="108"/>
      <c r="C39" s="107"/>
      <c r="D39" s="107"/>
      <c r="E39" s="107"/>
      <c r="F39" s="139"/>
      <c r="G39" s="107"/>
      <c r="H39" s="209"/>
      <c r="I39" s="206"/>
      <c r="J39" s="175" t="s">
        <v>135</v>
      </c>
      <c r="K39" s="196" t="str">
        <f>IF(K35="","",K37*K36)</f>
        <v/>
      </c>
      <c r="L39" s="196" t="str">
        <f t="shared" ref="L39:N39" si="3">IF(L35="","",L37*L36)</f>
        <v/>
      </c>
      <c r="M39" s="198" t="str">
        <f t="shared" si="3"/>
        <v/>
      </c>
      <c r="N39" s="196" t="str">
        <f t="shared" si="3"/>
        <v/>
      </c>
      <c r="O39" s="197" t="str">
        <f>IF(O35="","",O37*O36)</f>
        <v/>
      </c>
      <c r="P39" s="177"/>
      <c r="Q39" s="177"/>
      <c r="R39" s="107"/>
    </row>
    <row r="40" spans="2:25" ht="85.5" customHeight="1" thickBot="1" x14ac:dyDescent="0.3">
      <c r="B40" s="183"/>
      <c r="C40" s="184"/>
      <c r="D40" s="184"/>
      <c r="E40" s="184"/>
      <c r="F40" s="185"/>
      <c r="G40" s="107"/>
      <c r="H40" s="210"/>
      <c r="I40" s="207"/>
      <c r="J40" s="179" t="s">
        <v>130</v>
      </c>
      <c r="K40" s="186"/>
      <c r="L40" s="186"/>
      <c r="M40" s="187"/>
      <c r="N40" s="186"/>
      <c r="O40" s="188"/>
      <c r="P40" s="177"/>
      <c r="Q40" s="177"/>
      <c r="R40" s="107"/>
    </row>
    <row r="41" spans="2:25" x14ac:dyDescent="0.25">
      <c r="B41" s="107"/>
      <c r="F41" s="107"/>
      <c r="G41" s="107"/>
      <c r="H41" s="189"/>
      <c r="I41" s="189"/>
      <c r="J41" s="189"/>
      <c r="K41" s="107"/>
      <c r="L41" s="107"/>
      <c r="M41" s="107"/>
      <c r="N41" s="107"/>
      <c r="O41" s="107"/>
      <c r="P41" s="107"/>
      <c r="Q41" s="107"/>
      <c r="R41" s="107"/>
    </row>
    <row r="42" spans="2:25" ht="15.75" x14ac:dyDescent="0.25">
      <c r="H42" s="211" t="s">
        <v>150</v>
      </c>
      <c r="I42" s="211"/>
      <c r="J42" s="211"/>
      <c r="K42" s="201" t="s">
        <v>149</v>
      </c>
      <c r="M42" s="200"/>
      <c r="N42" s="200"/>
      <c r="O42" s="200"/>
      <c r="Q42" s="107"/>
    </row>
    <row r="43" spans="2:25" x14ac:dyDescent="0.25">
      <c r="H43" s="107"/>
      <c r="I43" s="107"/>
      <c r="J43" s="107"/>
      <c r="K43" s="107"/>
      <c r="L43" s="107"/>
      <c r="M43" s="107"/>
      <c r="N43" s="107"/>
      <c r="O43" s="107"/>
      <c r="Q43" s="107"/>
    </row>
    <row r="44" spans="2:25" ht="77.25" customHeight="1" x14ac:dyDescent="0.25">
      <c r="H44" s="212" t="s">
        <v>154</v>
      </c>
      <c r="I44" s="212"/>
      <c r="J44" s="212"/>
      <c r="K44" s="212"/>
      <c r="L44" s="212"/>
      <c r="M44" s="212"/>
      <c r="N44" s="212"/>
      <c r="O44" s="212"/>
      <c r="Q44" s="107"/>
    </row>
    <row r="45" spans="2:25" x14ac:dyDescent="0.25">
      <c r="Q45" s="107"/>
    </row>
    <row r="46" spans="2:25" x14ac:dyDescent="0.25">
      <c r="Q46" s="107"/>
    </row>
  </sheetData>
  <sheetProtection algorithmName="SHA-512" hashValue="jDJICcYxr5i/jBqJDhiyeu+PqifzSQ9WPvusxBBqqV+QKeO+HzOwTs5hizwSnbYjNJE5MNtYlWYuAtxfd4i+3w==" saltValue="B3HtvbGh5kppNVH6MW8TzA==" spinCount="100000" sheet="1" objects="1" scenarios="1"/>
  <sortState ref="S4:T30">
    <sortCondition descending="1" ref="T4"/>
  </sortState>
  <mergeCells count="19">
    <mergeCell ref="B1:O1"/>
    <mergeCell ref="I11:I16"/>
    <mergeCell ref="I17:I22"/>
    <mergeCell ref="I23:I28"/>
    <mergeCell ref="H17:H28"/>
    <mergeCell ref="I5:I10"/>
    <mergeCell ref="D9:E9"/>
    <mergeCell ref="C14:E14"/>
    <mergeCell ref="C4:E4"/>
    <mergeCell ref="C6:E6"/>
    <mergeCell ref="D12:E12"/>
    <mergeCell ref="H5:H16"/>
    <mergeCell ref="H3:O3"/>
    <mergeCell ref="B2:O2"/>
    <mergeCell ref="I29:I34"/>
    <mergeCell ref="I35:I40"/>
    <mergeCell ref="H29:H40"/>
    <mergeCell ref="H42:J42"/>
    <mergeCell ref="H44:O44"/>
  </mergeCells>
  <conditionalFormatting sqref="D18">
    <cfRule type="expression" dxfId="19" priority="28">
      <formula>$D$15="Power limit exceeded"</formula>
    </cfRule>
  </conditionalFormatting>
  <conditionalFormatting sqref="D19">
    <cfRule type="expression" dxfId="18" priority="27">
      <formula>$D$16="Power limit exceeded"</formula>
    </cfRule>
  </conditionalFormatting>
  <conditionalFormatting sqref="K5:K40 M5:M40">
    <cfRule type="expression" dxfId="17" priority="25">
      <formula>$D$15="Power limit exceeded"</formula>
    </cfRule>
    <cfRule type="expression" dxfId="16" priority="26">
      <formula>$D$15="Power lilmit exceeded"</formula>
    </cfRule>
  </conditionalFormatting>
  <conditionalFormatting sqref="L5:L40 N5:N40">
    <cfRule type="expression" dxfId="15" priority="24">
      <formula>$D$16="Power limit exceeded"</formula>
    </cfRule>
  </conditionalFormatting>
  <conditionalFormatting sqref="O6:O9">
    <cfRule type="expression" dxfId="14" priority="21">
      <formula>$D$15="Power limit exceeded"</formula>
    </cfRule>
    <cfRule type="expression" dxfId="13" priority="22">
      <formula>$D$15="Power lilmit exceeded"</formula>
    </cfRule>
  </conditionalFormatting>
  <conditionalFormatting sqref="O12:O15">
    <cfRule type="expression" dxfId="12" priority="19">
      <formula>$D$15="Power limit exceeded"</formula>
    </cfRule>
    <cfRule type="expression" dxfId="11" priority="20">
      <formula>$D$15="Power lilmit exceeded"</formula>
    </cfRule>
  </conditionalFormatting>
  <conditionalFormatting sqref="O18:O21">
    <cfRule type="expression" dxfId="10" priority="17">
      <formula>$D$15="Power limit exceeded"</formula>
    </cfRule>
    <cfRule type="expression" dxfId="9" priority="18">
      <formula>$D$15="Power lilmit exceeded"</formula>
    </cfRule>
  </conditionalFormatting>
  <conditionalFormatting sqref="O24:O27">
    <cfRule type="expression" dxfId="8" priority="15">
      <formula>$D$15="Power limit exceeded"</formula>
    </cfRule>
    <cfRule type="expression" dxfId="7" priority="16">
      <formula>$D$15="Power lilmit exceeded"</formula>
    </cfRule>
  </conditionalFormatting>
  <conditionalFormatting sqref="O30:O33">
    <cfRule type="expression" dxfId="6" priority="13">
      <formula>$D$15="Power limit exceeded"</formula>
    </cfRule>
    <cfRule type="expression" dxfId="5" priority="14">
      <formula>$D$15="Power lilmit exceeded"</formula>
    </cfRule>
  </conditionalFormatting>
  <conditionalFormatting sqref="O36:O39">
    <cfRule type="expression" dxfId="4" priority="11">
      <formula>$D$15="Power limit exceeded"</formula>
    </cfRule>
    <cfRule type="expression" dxfId="3" priority="12">
      <formula>$D$15="Power lilmit exceeded"</formula>
    </cfRule>
  </conditionalFormatting>
  <conditionalFormatting sqref="O5:O40">
    <cfRule type="expression" dxfId="2" priority="8">
      <formula>$D$15="Power limit exceeded"</formula>
    </cfRule>
  </conditionalFormatting>
  <conditionalFormatting sqref="H29:J40 J35:O39">
    <cfRule type="expression" dxfId="1" priority="2">
      <formula>$D$9="DEVImulti_HDPE"</formula>
    </cfRule>
  </conditionalFormatting>
  <conditionalFormatting sqref="J29:O33">
    <cfRule type="expression" dxfId="0" priority="1">
      <formula>$D$9="DEVImulti_HDPE"</formula>
    </cfRule>
  </conditionalFormatting>
  <dataValidations count="1">
    <dataValidation type="list" allowBlank="1" showInputMessage="1" showErrorMessage="1" sqref="D12:E12">
      <formula1>INDIRECT($D$9)</formula1>
    </dataValidation>
  </dataValidations>
  <hyperlinks>
    <hyperlink ref="K42" r:id="rId1"/>
  </hyperlinks>
  <pageMargins left="0" right="0" top="0" bottom="0" header="0.31496062992125984" footer="0.31496062992125984"/>
  <pageSetup paperSize="9" scale="75" orientation="landscape" r:id="rId2"/>
  <ignoredErrors>
    <ignoredError sqref="L7:L8 N7:N8 L13:L14 N13:N14 N19:N20 L19:L20 N25:N26 L25:L26 N31:N32 L31:L32 N37:N38 L37:L38 M7:M8 M13:M14 M19:M20 M25:M26 M31:M32 M37:M38 I29 I23 I11 I17" formula="1"/>
  </ignoredError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Sheet2!$U$12:$U$13</xm:f>
          </x14:formula1>
          <xm:sqref>D9:E9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6"/>
  <sheetViews>
    <sheetView zoomScale="80" zoomScaleNormal="80" workbookViewId="0">
      <selection activeCell="AA38" sqref="AA38"/>
    </sheetView>
  </sheetViews>
  <sheetFormatPr defaultRowHeight="15" x14ac:dyDescent="0.25"/>
  <cols>
    <col min="2" max="2" width="10" bestFit="1" customWidth="1"/>
  </cols>
  <sheetData>
    <row r="56" spans="2:2" x14ac:dyDescent="0.25">
      <c r="B56" s="204">
        <v>123456789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I37"/>
  <sheetViews>
    <sheetView zoomScale="90" zoomScaleNormal="90" workbookViewId="0">
      <selection activeCell="U22" sqref="U22"/>
    </sheetView>
  </sheetViews>
  <sheetFormatPr defaultRowHeight="15" x14ac:dyDescent="0.25"/>
  <cols>
    <col min="1" max="1" width="2.42578125" customWidth="1"/>
    <col min="2" max="2" width="11.5703125" bestFit="1" customWidth="1"/>
    <col min="3" max="3" width="15.42578125" customWidth="1"/>
    <col min="4" max="5" width="4.140625" bestFit="1" customWidth="1"/>
    <col min="6" max="6" width="3.28515625" bestFit="1" customWidth="1"/>
    <col min="7" max="8" width="5.85546875" bestFit="1" customWidth="1"/>
    <col min="9" max="9" width="3.28515625" bestFit="1" customWidth="1"/>
    <col min="10" max="10" width="5.85546875" bestFit="1" customWidth="1"/>
    <col min="11" max="11" width="3.28515625" bestFit="1" customWidth="1"/>
    <col min="12" max="12" width="5.85546875" bestFit="1" customWidth="1"/>
    <col min="13" max="13" width="4.42578125" bestFit="1" customWidth="1"/>
    <col min="14" max="14" width="5.85546875" bestFit="1" customWidth="1"/>
    <col min="15" max="19" width="4.42578125" bestFit="1" customWidth="1"/>
    <col min="21" max="21" width="61.7109375" bestFit="1" customWidth="1"/>
    <col min="25" max="25" width="5.7109375" customWidth="1"/>
    <col min="26" max="26" width="19.42578125" customWidth="1"/>
    <col min="28" max="28" width="19.5703125" customWidth="1"/>
    <col min="31" max="31" width="19.5703125" customWidth="1"/>
    <col min="33" max="33" width="19.5703125" customWidth="1"/>
    <col min="35" max="35" width="7.5703125" customWidth="1"/>
    <col min="36" max="36" width="19.5703125" customWidth="1"/>
  </cols>
  <sheetData>
    <row r="2" spans="1:22" ht="15.75" x14ac:dyDescent="0.25">
      <c r="A2" s="2"/>
      <c r="B2" s="247" t="s">
        <v>3</v>
      </c>
      <c r="C2" s="247"/>
      <c r="D2" s="247"/>
      <c r="E2" s="247"/>
      <c r="F2" s="247"/>
      <c r="G2" s="247"/>
      <c r="H2" s="247"/>
      <c r="I2" s="247"/>
      <c r="J2" s="247"/>
      <c r="K2" s="247"/>
      <c r="L2" s="247"/>
      <c r="M2" s="247"/>
      <c r="N2" s="247"/>
      <c r="O2" s="247"/>
      <c r="P2" s="247"/>
      <c r="Q2" s="247"/>
      <c r="R2" s="247"/>
      <c r="S2" s="247"/>
    </row>
    <row r="3" spans="1:22" ht="15.75" x14ac:dyDescent="0.25">
      <c r="A3" s="2"/>
      <c r="B3" s="246" t="s">
        <v>4</v>
      </c>
      <c r="C3" s="246"/>
      <c r="D3" s="246"/>
      <c r="E3" s="246"/>
      <c r="F3" s="246"/>
      <c r="G3" s="246"/>
      <c r="H3" s="246"/>
      <c r="I3" s="246"/>
      <c r="J3" s="246"/>
      <c r="K3" s="246"/>
      <c r="L3" s="246"/>
      <c r="M3" s="246"/>
      <c r="N3" s="246"/>
      <c r="O3" s="246"/>
      <c r="P3" s="246"/>
      <c r="Q3" s="246"/>
      <c r="R3" s="246"/>
      <c r="S3" s="246"/>
    </row>
    <row r="4" spans="1:22" ht="15.75" x14ac:dyDescent="0.25">
      <c r="A4" s="2"/>
      <c r="B4" s="248" t="s">
        <v>5</v>
      </c>
      <c r="C4" s="9" t="s">
        <v>7</v>
      </c>
      <c r="D4" s="27" t="s">
        <v>8</v>
      </c>
      <c r="E4" s="27" t="s">
        <v>9</v>
      </c>
      <c r="F4" s="27" t="s">
        <v>10</v>
      </c>
      <c r="G4" s="27" t="s">
        <v>77</v>
      </c>
      <c r="H4" s="27" t="s">
        <v>11</v>
      </c>
      <c r="I4" s="27" t="s">
        <v>12</v>
      </c>
      <c r="J4" s="27" t="s">
        <v>13</v>
      </c>
      <c r="K4" s="27" t="s">
        <v>14</v>
      </c>
      <c r="L4" s="27" t="s">
        <v>15</v>
      </c>
      <c r="M4" s="27" t="s">
        <v>16</v>
      </c>
      <c r="N4" s="27" t="s">
        <v>17</v>
      </c>
      <c r="O4" s="27" t="s">
        <v>18</v>
      </c>
      <c r="P4" s="27" t="s">
        <v>19</v>
      </c>
      <c r="Q4" s="27">
        <v>8</v>
      </c>
      <c r="R4" s="27">
        <v>10</v>
      </c>
      <c r="S4" s="27">
        <v>12</v>
      </c>
    </row>
    <row r="5" spans="1:22" ht="15.75" x14ac:dyDescent="0.25">
      <c r="A5" s="2"/>
      <c r="B5" s="248"/>
      <c r="C5" s="9" t="s">
        <v>6</v>
      </c>
      <c r="D5" s="1">
        <v>15</v>
      </c>
      <c r="E5" s="1">
        <v>20</v>
      </c>
      <c r="F5" s="1">
        <v>25</v>
      </c>
      <c r="G5" s="1">
        <v>32</v>
      </c>
      <c r="H5" s="1">
        <v>40</v>
      </c>
      <c r="I5" s="1">
        <v>50</v>
      </c>
      <c r="J5" s="1">
        <v>65</v>
      </c>
      <c r="K5" s="1">
        <v>80</v>
      </c>
      <c r="L5" s="1">
        <v>90</v>
      </c>
      <c r="M5" s="1">
        <v>100</v>
      </c>
      <c r="N5" s="1">
        <v>115</v>
      </c>
      <c r="O5" s="1">
        <v>125</v>
      </c>
      <c r="P5" s="1">
        <v>150</v>
      </c>
      <c r="Q5" s="1">
        <v>200</v>
      </c>
      <c r="R5" s="1">
        <v>250</v>
      </c>
      <c r="S5" s="1">
        <v>300</v>
      </c>
    </row>
    <row r="6" spans="1:22" ht="30.2" customHeight="1" x14ac:dyDescent="0.25">
      <c r="A6" s="2"/>
      <c r="B6" s="248" t="s">
        <v>46</v>
      </c>
      <c r="C6" s="248"/>
      <c r="D6" s="1">
        <v>21</v>
      </c>
      <c r="E6" s="1">
        <v>27</v>
      </c>
      <c r="F6" s="1">
        <v>34</v>
      </c>
      <c r="G6" s="1">
        <v>42</v>
      </c>
      <c r="H6" s="1">
        <v>48</v>
      </c>
      <c r="I6" s="1">
        <v>60</v>
      </c>
      <c r="J6" s="1">
        <v>73</v>
      </c>
      <c r="K6" s="1">
        <v>89</v>
      </c>
      <c r="L6" s="1">
        <v>102</v>
      </c>
      <c r="M6" s="1">
        <v>114</v>
      </c>
      <c r="N6" s="1">
        <v>127</v>
      </c>
      <c r="O6" s="1">
        <v>141</v>
      </c>
      <c r="P6" s="1">
        <v>168</v>
      </c>
      <c r="Q6" s="1">
        <v>219</v>
      </c>
      <c r="R6" s="1">
        <v>273</v>
      </c>
      <c r="S6" s="1">
        <v>324</v>
      </c>
    </row>
    <row r="7" spans="1:22" ht="15.75" customHeight="1" x14ac:dyDescent="0.25">
      <c r="A7" s="2"/>
      <c r="B7" s="245" t="s">
        <v>45</v>
      </c>
      <c r="C7" s="245"/>
      <c r="D7" s="245"/>
      <c r="E7" s="245"/>
      <c r="F7" s="245"/>
      <c r="G7" s="245"/>
      <c r="H7" s="245"/>
      <c r="I7" s="245"/>
      <c r="J7" s="245"/>
      <c r="K7" s="245"/>
      <c r="L7" s="245"/>
      <c r="U7" t="s">
        <v>158</v>
      </c>
      <c r="V7">
        <v>30</v>
      </c>
    </row>
    <row r="8" spans="1:22" x14ac:dyDescent="0.25">
      <c r="A8" s="2"/>
      <c r="B8" s="245" t="s">
        <v>47</v>
      </c>
      <c r="C8" s="245"/>
      <c r="D8" s="245"/>
      <c r="E8" s="245"/>
      <c r="F8" s="245"/>
      <c r="G8" s="245"/>
      <c r="H8" s="245"/>
      <c r="I8" s="245"/>
      <c r="J8" s="245"/>
      <c r="K8" s="245"/>
      <c r="L8" s="245"/>
      <c r="U8" t="s">
        <v>164</v>
      </c>
      <c r="V8">
        <v>30</v>
      </c>
    </row>
    <row r="9" spans="1:22" x14ac:dyDescent="0.25">
      <c r="A9" s="2"/>
    </row>
    <row r="11" spans="1:22" x14ac:dyDescent="0.25">
      <c r="C11" t="s">
        <v>48</v>
      </c>
      <c r="L11" s="28" t="s">
        <v>90</v>
      </c>
    </row>
    <row r="12" spans="1:22" x14ac:dyDescent="0.25">
      <c r="C12" t="s">
        <v>49</v>
      </c>
      <c r="L12" s="29"/>
      <c r="U12" t="s">
        <v>162</v>
      </c>
    </row>
    <row r="13" spans="1:22" x14ac:dyDescent="0.25">
      <c r="L13" s="29">
        <v>230</v>
      </c>
      <c r="U13" t="s">
        <v>163</v>
      </c>
    </row>
    <row r="14" spans="1:22" x14ac:dyDescent="0.25">
      <c r="C14" t="s">
        <v>59</v>
      </c>
      <c r="L14" s="29">
        <v>400</v>
      </c>
    </row>
    <row r="15" spans="1:22" x14ac:dyDescent="0.25">
      <c r="C15" t="s">
        <v>60</v>
      </c>
      <c r="L15" s="29"/>
      <c r="U15" t="s">
        <v>107</v>
      </c>
    </row>
    <row r="16" spans="1:22" x14ac:dyDescent="0.25">
      <c r="L16" s="29"/>
      <c r="U16" t="s">
        <v>108</v>
      </c>
    </row>
    <row r="18" spans="3:35" x14ac:dyDescent="0.25">
      <c r="C18" t="s">
        <v>61</v>
      </c>
      <c r="U18" t="s">
        <v>158</v>
      </c>
      <c r="V18">
        <v>30</v>
      </c>
    </row>
    <row r="19" spans="3:35" x14ac:dyDescent="0.25">
      <c r="C19" t="s">
        <v>62</v>
      </c>
      <c r="U19" t="s">
        <v>157</v>
      </c>
      <c r="V19">
        <v>10</v>
      </c>
    </row>
    <row r="20" spans="3:35" x14ac:dyDescent="0.25">
      <c r="C20" t="s">
        <v>63</v>
      </c>
      <c r="U20" t="s">
        <v>159</v>
      </c>
      <c r="V20">
        <v>20</v>
      </c>
    </row>
    <row r="21" spans="3:35" x14ac:dyDescent="0.25">
      <c r="C21" t="s">
        <v>64</v>
      </c>
      <c r="U21" t="s">
        <v>160</v>
      </c>
      <c r="V21">
        <v>15</v>
      </c>
    </row>
    <row r="22" spans="3:35" x14ac:dyDescent="0.25">
      <c r="C22" t="s">
        <v>65</v>
      </c>
      <c r="U22" t="s">
        <v>161</v>
      </c>
      <c r="V22">
        <v>30</v>
      </c>
      <c r="AB22" s="100"/>
    </row>
    <row r="23" spans="3:35" x14ac:dyDescent="0.25">
      <c r="C23" t="s">
        <v>66</v>
      </c>
    </row>
    <row r="24" spans="3:35" x14ac:dyDescent="0.25">
      <c r="C24" t="s">
        <v>69</v>
      </c>
    </row>
    <row r="25" spans="3:35" ht="61.5" customHeight="1" x14ac:dyDescent="0.25">
      <c r="C25" t="s">
        <v>70</v>
      </c>
    </row>
    <row r="26" spans="3:35" ht="17.25" customHeight="1" x14ac:dyDescent="0.25">
      <c r="C26" t="s">
        <v>68</v>
      </c>
      <c r="AA26" s="101">
        <v>5.3999999999999999E-2</v>
      </c>
      <c r="AD26" s="101">
        <v>0.44</v>
      </c>
      <c r="AF26" s="101">
        <v>10</v>
      </c>
    </row>
    <row r="27" spans="3:35" ht="90" customHeight="1" x14ac:dyDescent="0.25">
      <c r="AA27" t="str">
        <f>""</f>
        <v/>
      </c>
      <c r="AD27" t="str">
        <f>""</f>
        <v/>
      </c>
      <c r="AF27" t="str">
        <f>""</f>
        <v/>
      </c>
      <c r="AI27" t="str">
        <f>""</f>
        <v/>
      </c>
    </row>
    <row r="28" spans="3:35" ht="94.5" customHeight="1" x14ac:dyDescent="0.25">
      <c r="AA28" s="28">
        <v>0.108</v>
      </c>
      <c r="AD28" s="28">
        <v>0.88</v>
      </c>
      <c r="AF28" s="28">
        <v>10</v>
      </c>
      <c r="AI28">
        <v>2.7E-2</v>
      </c>
    </row>
    <row r="29" spans="3:35" ht="90" customHeight="1" x14ac:dyDescent="0.25">
      <c r="AA29" s="28">
        <v>8.1000000000000003E-2</v>
      </c>
      <c r="AD29" s="28">
        <v>0.66</v>
      </c>
      <c r="AF29" s="28">
        <v>7.5</v>
      </c>
      <c r="AI29">
        <v>0.22</v>
      </c>
    </row>
    <row r="30" spans="3:35" ht="93.75" customHeight="1" x14ac:dyDescent="0.25">
      <c r="AA30" s="28">
        <v>6.7500000000000004E-2</v>
      </c>
      <c r="AD30" s="28">
        <v>0.55000000000000004</v>
      </c>
      <c r="AF30" s="28">
        <v>6.25</v>
      </c>
      <c r="AI30">
        <v>2.5</v>
      </c>
    </row>
    <row r="31" spans="3:35" ht="90" customHeight="1" x14ac:dyDescent="0.25">
      <c r="AA31" s="28">
        <v>5.3999999999999999E-2</v>
      </c>
      <c r="AD31" s="28">
        <v>0.44</v>
      </c>
      <c r="AF31" s="28">
        <v>5</v>
      </c>
    </row>
    <row r="32" spans="3:35" ht="90" customHeight="1" x14ac:dyDescent="0.25">
      <c r="AA32" s="28">
        <v>4.0500000000000001E-2</v>
      </c>
      <c r="AD32" s="28">
        <v>0.33</v>
      </c>
      <c r="AF32" s="28">
        <v>3.75</v>
      </c>
    </row>
    <row r="33" spans="27:32" ht="91.5" customHeight="1" x14ac:dyDescent="0.25">
      <c r="AA33" s="28">
        <v>3.5999999999999997E-2</v>
      </c>
      <c r="AD33" s="28">
        <v>0.29330000000000001</v>
      </c>
      <c r="AF33" s="28">
        <v>3.3330000000000002</v>
      </c>
    </row>
    <row r="34" spans="27:32" ht="90.75" customHeight="1" x14ac:dyDescent="0.25">
      <c r="AA34" s="28">
        <v>2.7E-2</v>
      </c>
      <c r="AD34" s="28">
        <v>0.22</v>
      </c>
      <c r="AF34" s="28">
        <v>2.5</v>
      </c>
    </row>
    <row r="35" spans="27:32" ht="90" customHeight="1" x14ac:dyDescent="0.25">
      <c r="AA35" s="28">
        <v>1.35E-2</v>
      </c>
      <c r="AD35" s="28">
        <v>0.11</v>
      </c>
      <c r="AF35" s="28">
        <v>1.25</v>
      </c>
    </row>
    <row r="36" spans="27:32" ht="90" customHeight="1" x14ac:dyDescent="0.25">
      <c r="AA36" s="28">
        <v>8.9999999999999993E-3</v>
      </c>
      <c r="AD36" s="28">
        <v>7.3300000000000004E-2</v>
      </c>
      <c r="AF36" s="28">
        <v>0.83330000000000004</v>
      </c>
    </row>
    <row r="37" spans="27:32" ht="90" customHeight="1" x14ac:dyDescent="0.25">
      <c r="AA37" s="28">
        <v>6.7499999999999999E-3</v>
      </c>
      <c r="AD37" s="28">
        <v>5.5E-2</v>
      </c>
      <c r="AF37" s="28">
        <v>0.625</v>
      </c>
    </row>
  </sheetData>
  <mergeCells count="6">
    <mergeCell ref="B8:L8"/>
    <mergeCell ref="B3:S3"/>
    <mergeCell ref="B2:S2"/>
    <mergeCell ref="B7:L7"/>
    <mergeCell ref="B6:C6"/>
    <mergeCell ref="B4:B5"/>
  </mergeCells>
  <dataValidations count="3">
    <dataValidation type="list" allowBlank="1" showInputMessage="1" showErrorMessage="1" sqref="AA26">
      <formula1>$AA$28:$AA$37</formula1>
    </dataValidation>
    <dataValidation type="list" allowBlank="1" showInputMessage="1" showErrorMessage="1" sqref="AD26">
      <formula1>$AD$28:$AD$37</formula1>
    </dataValidation>
    <dataValidation type="list" allowBlank="1" showInputMessage="1" showErrorMessage="1" sqref="AF26">
      <formula1>$AF$28:$AF$37</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7"/>
  <sheetViews>
    <sheetView topLeftCell="A19" workbookViewId="0">
      <selection activeCell="G43" sqref="G43"/>
    </sheetView>
  </sheetViews>
  <sheetFormatPr defaultRowHeight="15" x14ac:dyDescent="0.25"/>
  <cols>
    <col min="2" max="2" width="19.7109375" style="18" customWidth="1"/>
    <col min="3" max="3" width="18.85546875" customWidth="1"/>
    <col min="4" max="4" width="18" customWidth="1"/>
    <col min="5" max="5" width="19.140625" customWidth="1"/>
    <col min="6" max="6" width="18.85546875" customWidth="1"/>
    <col min="7" max="7" width="16.5703125" customWidth="1"/>
    <col min="8" max="8" width="16.85546875" customWidth="1"/>
    <col min="9" max="9" width="17.42578125" customWidth="1"/>
    <col min="10" max="11" width="16.7109375" bestFit="1" customWidth="1"/>
    <col min="12" max="14" width="14.7109375" bestFit="1" customWidth="1"/>
  </cols>
  <sheetData>
    <row r="2" spans="2:14" ht="15.75" x14ac:dyDescent="0.25">
      <c r="B2" s="253" t="s">
        <v>32</v>
      </c>
      <c r="C2" s="253"/>
      <c r="D2" s="253"/>
      <c r="E2" s="253"/>
      <c r="F2" s="253"/>
      <c r="G2" s="253"/>
      <c r="H2" s="11"/>
      <c r="I2" s="11"/>
      <c r="J2" s="11"/>
      <c r="K2" s="11"/>
      <c r="L2" s="11"/>
      <c r="M2" s="11"/>
      <c r="N2" s="11"/>
    </row>
    <row r="3" spans="2:14" ht="15.75" customHeight="1" x14ac:dyDescent="0.25">
      <c r="B3" s="253" t="s">
        <v>20</v>
      </c>
      <c r="C3" s="253"/>
      <c r="D3" s="253"/>
      <c r="E3" s="253"/>
      <c r="F3" s="253"/>
      <c r="G3" s="253"/>
      <c r="H3" s="11"/>
      <c r="I3" s="11"/>
      <c r="J3" s="11"/>
      <c r="K3" s="11"/>
      <c r="L3" s="11"/>
      <c r="M3" s="11"/>
      <c r="N3" s="11"/>
    </row>
    <row r="4" spans="2:14" ht="15.75" x14ac:dyDescent="0.25">
      <c r="B4" s="248" t="s">
        <v>21</v>
      </c>
      <c r="C4" s="253" t="s">
        <v>91</v>
      </c>
      <c r="D4" s="253"/>
      <c r="E4" s="253"/>
      <c r="F4" s="253"/>
      <c r="G4" s="253"/>
      <c r="H4" s="11"/>
    </row>
    <row r="5" spans="2:14" ht="15.75" x14ac:dyDescent="0.25">
      <c r="B5" s="248"/>
      <c r="C5" s="30" t="s">
        <v>73</v>
      </c>
      <c r="D5" s="15" t="s">
        <v>92</v>
      </c>
      <c r="E5" s="15" t="s">
        <v>93</v>
      </c>
      <c r="F5" s="15" t="s">
        <v>94</v>
      </c>
      <c r="G5" s="15" t="s">
        <v>95</v>
      </c>
    </row>
    <row r="6" spans="2:14" ht="30" x14ac:dyDescent="0.25">
      <c r="B6" s="17" t="s">
        <v>22</v>
      </c>
      <c r="C6" s="12" t="s">
        <v>71</v>
      </c>
      <c r="D6" s="12" t="s">
        <v>24</v>
      </c>
      <c r="E6" s="12" t="s">
        <v>25</v>
      </c>
      <c r="F6" s="25" t="s">
        <v>72</v>
      </c>
      <c r="G6" s="25" t="s">
        <v>31</v>
      </c>
    </row>
    <row r="7" spans="2:14" ht="45" x14ac:dyDescent="0.25">
      <c r="B7" s="20" t="s">
        <v>23</v>
      </c>
      <c r="C7" s="26" t="s">
        <v>33</v>
      </c>
      <c r="D7" s="26" t="s">
        <v>34</v>
      </c>
      <c r="E7" s="26" t="s">
        <v>35</v>
      </c>
      <c r="F7" s="26" t="s">
        <v>37</v>
      </c>
      <c r="G7" s="26" t="s">
        <v>36</v>
      </c>
    </row>
    <row r="8" spans="2:14" x14ac:dyDescent="0.25">
      <c r="B8" s="21"/>
      <c r="C8" s="16"/>
      <c r="D8" s="16"/>
      <c r="E8" s="16"/>
      <c r="F8" s="16"/>
      <c r="G8" s="16"/>
      <c r="H8" s="10"/>
    </row>
    <row r="9" spans="2:14" ht="15.75" customHeight="1" x14ac:dyDescent="0.25">
      <c r="B9" s="251" t="s">
        <v>21</v>
      </c>
      <c r="C9" s="250" t="s">
        <v>99</v>
      </c>
      <c r="D9" s="250"/>
      <c r="E9" s="250"/>
      <c r="F9" s="250"/>
      <c r="G9" s="250"/>
      <c r="H9" s="250"/>
    </row>
    <row r="10" spans="2:14" ht="15.75" x14ac:dyDescent="0.25">
      <c r="B10" s="252"/>
      <c r="C10" s="30" t="s">
        <v>74</v>
      </c>
      <c r="D10" s="15" t="s">
        <v>100</v>
      </c>
      <c r="E10" s="15" t="s">
        <v>101</v>
      </c>
      <c r="F10" s="15" t="s">
        <v>102</v>
      </c>
      <c r="G10" s="15" t="s">
        <v>103</v>
      </c>
      <c r="H10" s="15" t="s">
        <v>104</v>
      </c>
    </row>
    <row r="11" spans="2:14" ht="30" x14ac:dyDescent="0.25">
      <c r="B11" s="17" t="s">
        <v>22</v>
      </c>
      <c r="C11" s="25" t="s">
        <v>50</v>
      </c>
      <c r="D11" s="25" t="s">
        <v>26</v>
      </c>
      <c r="E11" s="25" t="s">
        <v>27</v>
      </c>
      <c r="F11" s="25" t="s">
        <v>28</v>
      </c>
      <c r="G11" s="25" t="s">
        <v>29</v>
      </c>
      <c r="H11" s="25" t="s">
        <v>30</v>
      </c>
    </row>
    <row r="12" spans="2:14" ht="45" x14ac:dyDescent="0.25">
      <c r="B12" s="17" t="s">
        <v>23</v>
      </c>
      <c r="C12" s="25" t="s">
        <v>38</v>
      </c>
      <c r="D12" s="25" t="s">
        <v>39</v>
      </c>
      <c r="E12" s="25" t="s">
        <v>40</v>
      </c>
      <c r="F12" s="25" t="s">
        <v>41</v>
      </c>
      <c r="G12" s="25" t="s">
        <v>42</v>
      </c>
      <c r="H12" s="25" t="s">
        <v>43</v>
      </c>
    </row>
    <row r="13" spans="2:14" ht="8.25" customHeight="1" x14ac:dyDescent="0.25"/>
    <row r="14" spans="2:14" ht="15.75" x14ac:dyDescent="0.25">
      <c r="B14" s="22" t="s">
        <v>44</v>
      </c>
      <c r="C14" s="19"/>
      <c r="D14" s="19"/>
      <c r="E14" s="2"/>
    </row>
    <row r="17" spans="2:12" x14ac:dyDescent="0.25">
      <c r="B17" s="249" t="s">
        <v>96</v>
      </c>
      <c r="C17" s="249"/>
      <c r="D17" s="249"/>
      <c r="E17" s="249"/>
      <c r="F17" s="249"/>
      <c r="G17" s="249"/>
      <c r="H17" s="249"/>
      <c r="I17" s="249"/>
      <c r="J17" s="249"/>
      <c r="K17" s="249"/>
      <c r="L17" s="249"/>
    </row>
    <row r="18" spans="2:12" x14ac:dyDescent="0.25">
      <c r="B18" s="14" t="s">
        <v>78</v>
      </c>
      <c r="C18">
        <v>6</v>
      </c>
      <c r="D18" s="18" t="s">
        <v>0</v>
      </c>
      <c r="F18" s="14" t="s">
        <v>51</v>
      </c>
      <c r="G18">
        <v>10</v>
      </c>
      <c r="H18" s="18" t="s">
        <v>53</v>
      </c>
      <c r="J18" s="14" t="s">
        <v>78</v>
      </c>
      <c r="K18">
        <v>6</v>
      </c>
      <c r="L18" s="18" t="s">
        <v>0</v>
      </c>
    </row>
    <row r="19" spans="2:12" x14ac:dyDescent="0.25">
      <c r="B19" s="13" t="s">
        <v>24</v>
      </c>
      <c r="C19">
        <v>10</v>
      </c>
      <c r="D19" s="18" t="s">
        <v>0</v>
      </c>
      <c r="F19" s="24" t="s">
        <v>52</v>
      </c>
      <c r="G19">
        <v>10</v>
      </c>
      <c r="H19" s="18" t="s">
        <v>53</v>
      </c>
      <c r="J19" s="13" t="s">
        <v>24</v>
      </c>
      <c r="K19">
        <v>10</v>
      </c>
      <c r="L19" s="18" t="s">
        <v>0</v>
      </c>
    </row>
    <row r="20" spans="2:12" x14ac:dyDescent="0.25">
      <c r="B20" s="14" t="s">
        <v>79</v>
      </c>
      <c r="C20">
        <v>10</v>
      </c>
      <c r="D20" s="18" t="s">
        <v>0</v>
      </c>
      <c r="F20" s="14" t="s">
        <v>26</v>
      </c>
      <c r="G20">
        <v>25</v>
      </c>
      <c r="H20" s="18" t="s">
        <v>53</v>
      </c>
      <c r="J20" s="14" t="s">
        <v>79</v>
      </c>
      <c r="K20">
        <v>10</v>
      </c>
      <c r="L20" s="18" t="s">
        <v>0</v>
      </c>
    </row>
    <row r="21" spans="2:12" x14ac:dyDescent="0.25">
      <c r="B21" s="23" t="s">
        <v>80</v>
      </c>
      <c r="C21">
        <v>10</v>
      </c>
      <c r="D21" s="18" t="s">
        <v>0</v>
      </c>
      <c r="F21" s="14" t="s">
        <v>85</v>
      </c>
      <c r="G21">
        <v>25</v>
      </c>
      <c r="H21" s="18" t="s">
        <v>53</v>
      </c>
      <c r="J21" s="23" t="s">
        <v>80</v>
      </c>
      <c r="K21">
        <v>10</v>
      </c>
      <c r="L21" s="18" t="s">
        <v>0</v>
      </c>
    </row>
    <row r="22" spans="2:12" x14ac:dyDescent="0.25">
      <c r="B22" s="23" t="s">
        <v>81</v>
      </c>
      <c r="C22">
        <v>10</v>
      </c>
      <c r="D22" s="18" t="s">
        <v>0</v>
      </c>
      <c r="F22" s="14" t="s">
        <v>27</v>
      </c>
      <c r="G22">
        <v>33</v>
      </c>
      <c r="H22" s="18" t="s">
        <v>53</v>
      </c>
      <c r="J22" s="23" t="s">
        <v>81</v>
      </c>
      <c r="K22">
        <v>10</v>
      </c>
      <c r="L22" s="18" t="s">
        <v>0</v>
      </c>
    </row>
    <row r="23" spans="2:12" x14ac:dyDescent="0.25">
      <c r="B23" s="13" t="s">
        <v>25</v>
      </c>
      <c r="C23">
        <v>18</v>
      </c>
      <c r="D23" s="18" t="s">
        <v>0</v>
      </c>
      <c r="F23" s="14" t="s">
        <v>86</v>
      </c>
      <c r="G23">
        <v>33</v>
      </c>
      <c r="H23" s="18" t="s">
        <v>53</v>
      </c>
      <c r="J23" s="14" t="s">
        <v>31</v>
      </c>
      <c r="K23">
        <v>9</v>
      </c>
      <c r="L23" s="18" t="s">
        <v>0</v>
      </c>
    </row>
    <row r="24" spans="2:12" x14ac:dyDescent="0.25">
      <c r="B24" s="14" t="s">
        <v>82</v>
      </c>
      <c r="C24">
        <v>18</v>
      </c>
      <c r="D24" s="18" t="s">
        <v>0</v>
      </c>
      <c r="F24" s="14" t="s">
        <v>28</v>
      </c>
      <c r="G24">
        <v>7</v>
      </c>
      <c r="H24" s="18" t="s">
        <v>54</v>
      </c>
      <c r="J24" s="14" t="s">
        <v>84</v>
      </c>
      <c r="K24">
        <v>9</v>
      </c>
      <c r="L24" s="18" t="s">
        <v>0</v>
      </c>
    </row>
    <row r="25" spans="2:12" x14ac:dyDescent="0.25">
      <c r="B25" s="14" t="s">
        <v>83</v>
      </c>
      <c r="C25">
        <v>20</v>
      </c>
      <c r="D25" s="18" t="s">
        <v>0</v>
      </c>
      <c r="F25" s="14" t="s">
        <v>87</v>
      </c>
      <c r="G25">
        <v>7</v>
      </c>
      <c r="H25" s="18" t="s">
        <v>54</v>
      </c>
    </row>
    <row r="26" spans="2:12" x14ac:dyDescent="0.25">
      <c r="B26" s="14" t="s">
        <v>31</v>
      </c>
      <c r="C26">
        <v>9</v>
      </c>
      <c r="D26" s="18" t="s">
        <v>0</v>
      </c>
      <c r="F26" s="14" t="s">
        <v>29</v>
      </c>
      <c r="G26">
        <v>9</v>
      </c>
      <c r="H26" s="18" t="s">
        <v>55</v>
      </c>
    </row>
    <row r="27" spans="2:12" x14ac:dyDescent="0.25">
      <c r="B27" s="14" t="s">
        <v>84</v>
      </c>
      <c r="C27">
        <v>9</v>
      </c>
      <c r="D27" s="18" t="s">
        <v>0</v>
      </c>
      <c r="F27" s="14" t="s">
        <v>88</v>
      </c>
      <c r="G27">
        <v>9</v>
      </c>
      <c r="H27" s="18" t="s">
        <v>55</v>
      </c>
    </row>
    <row r="28" spans="2:12" x14ac:dyDescent="0.25">
      <c r="F28" s="14" t="s">
        <v>30</v>
      </c>
      <c r="G28">
        <v>12</v>
      </c>
      <c r="H28" s="18" t="s">
        <v>56</v>
      </c>
    </row>
    <row r="29" spans="2:12" x14ac:dyDescent="0.25">
      <c r="F29" s="14" t="s">
        <v>89</v>
      </c>
      <c r="G29">
        <v>12</v>
      </c>
      <c r="H29" s="18" t="s">
        <v>56</v>
      </c>
    </row>
    <row r="31" spans="2:12" x14ac:dyDescent="0.25">
      <c r="B31" s="249" t="s">
        <v>97</v>
      </c>
      <c r="C31" s="249"/>
      <c r="D31" s="249"/>
      <c r="E31" s="249"/>
      <c r="F31" s="249"/>
      <c r="G31" s="249"/>
      <c r="H31" s="249"/>
      <c r="I31" s="249"/>
      <c r="J31" s="249"/>
      <c r="K31" s="249"/>
      <c r="L31" s="249"/>
    </row>
    <row r="32" spans="2:12" x14ac:dyDescent="0.25">
      <c r="B32" s="14" t="s">
        <v>78</v>
      </c>
      <c r="C32" s="31">
        <f>6*0.915</f>
        <v>5.49</v>
      </c>
      <c r="D32" s="18" t="s">
        <v>0</v>
      </c>
      <c r="F32" s="14" t="s">
        <v>51</v>
      </c>
      <c r="G32" s="31">
        <f>10*0.915</f>
        <v>9.15</v>
      </c>
      <c r="H32" s="18" t="s">
        <v>53</v>
      </c>
      <c r="J32" s="14" t="s">
        <v>78</v>
      </c>
      <c r="K32" s="31">
        <f>6*0.915</f>
        <v>5.49</v>
      </c>
      <c r="L32" s="18" t="s">
        <v>0</v>
      </c>
    </row>
    <row r="33" spans="2:12" x14ac:dyDescent="0.25">
      <c r="B33" s="13" t="s">
        <v>24</v>
      </c>
      <c r="C33" s="31">
        <f>10*0.915</f>
        <v>9.15</v>
      </c>
      <c r="D33" s="18" t="s">
        <v>0</v>
      </c>
      <c r="F33" s="24" t="s">
        <v>52</v>
      </c>
      <c r="G33" s="31">
        <f>10*0.915</f>
        <v>9.15</v>
      </c>
      <c r="H33" s="18" t="s">
        <v>53</v>
      </c>
      <c r="J33" s="13" t="s">
        <v>24</v>
      </c>
      <c r="K33" s="31">
        <f>10*0.915</f>
        <v>9.15</v>
      </c>
      <c r="L33" s="18" t="s">
        <v>0</v>
      </c>
    </row>
    <row r="34" spans="2:12" x14ac:dyDescent="0.25">
      <c r="B34" s="14" t="s">
        <v>79</v>
      </c>
      <c r="C34" s="31">
        <f t="shared" ref="C34:C36" si="0">10*0.915</f>
        <v>9.15</v>
      </c>
      <c r="D34" s="18" t="s">
        <v>0</v>
      </c>
      <c r="F34" s="14" t="s">
        <v>26</v>
      </c>
      <c r="G34" s="31">
        <f>25*0.915</f>
        <v>22.875</v>
      </c>
      <c r="H34" s="18" t="s">
        <v>53</v>
      </c>
      <c r="J34" s="14" t="s">
        <v>79</v>
      </c>
      <c r="K34" s="31">
        <f t="shared" ref="K34:K36" si="1">10*0.915</f>
        <v>9.15</v>
      </c>
      <c r="L34" s="18" t="s">
        <v>0</v>
      </c>
    </row>
    <row r="35" spans="2:12" x14ac:dyDescent="0.25">
      <c r="B35" s="23" t="s">
        <v>80</v>
      </c>
      <c r="C35" s="31">
        <f t="shared" si="0"/>
        <v>9.15</v>
      </c>
      <c r="D35" s="18" t="s">
        <v>0</v>
      </c>
      <c r="F35" s="14" t="s">
        <v>85</v>
      </c>
      <c r="G35" s="31">
        <f>25*0.915</f>
        <v>22.875</v>
      </c>
      <c r="H35" s="18" t="s">
        <v>53</v>
      </c>
      <c r="J35" s="23" t="s">
        <v>80</v>
      </c>
      <c r="K35" s="31">
        <f t="shared" si="1"/>
        <v>9.15</v>
      </c>
      <c r="L35" s="18" t="s">
        <v>0</v>
      </c>
    </row>
    <row r="36" spans="2:12" x14ac:dyDescent="0.25">
      <c r="B36" s="23" t="s">
        <v>81</v>
      </c>
      <c r="C36" s="31">
        <f t="shared" si="0"/>
        <v>9.15</v>
      </c>
      <c r="D36" s="18" t="s">
        <v>0</v>
      </c>
      <c r="F36" s="14" t="s">
        <v>27</v>
      </c>
      <c r="G36" s="31">
        <f>33*0.915</f>
        <v>30.195</v>
      </c>
      <c r="H36" s="18" t="s">
        <v>53</v>
      </c>
      <c r="J36" s="23" t="s">
        <v>81</v>
      </c>
      <c r="K36" s="31">
        <f t="shared" si="1"/>
        <v>9.15</v>
      </c>
      <c r="L36" s="18" t="s">
        <v>0</v>
      </c>
    </row>
    <row r="37" spans="2:12" x14ac:dyDescent="0.25">
      <c r="B37" s="13" t="s">
        <v>25</v>
      </c>
      <c r="C37" s="31">
        <f>18*0.915</f>
        <v>16.47</v>
      </c>
      <c r="D37" s="18" t="s">
        <v>0</v>
      </c>
      <c r="F37" s="14" t="s">
        <v>86</v>
      </c>
      <c r="G37" s="31">
        <f>33*0.915</f>
        <v>30.195</v>
      </c>
      <c r="H37" s="18" t="s">
        <v>53</v>
      </c>
      <c r="J37" s="14" t="s">
        <v>31</v>
      </c>
      <c r="K37" s="31">
        <f>9*0.915</f>
        <v>8.2349999999999994</v>
      </c>
      <c r="L37" s="18" t="s">
        <v>0</v>
      </c>
    </row>
    <row r="38" spans="2:12" x14ac:dyDescent="0.25">
      <c r="B38" s="14" t="s">
        <v>82</v>
      </c>
      <c r="C38" s="31">
        <f>18*0.915</f>
        <v>16.47</v>
      </c>
      <c r="D38" s="18" t="s">
        <v>0</v>
      </c>
      <c r="F38" s="14" t="s">
        <v>28</v>
      </c>
      <c r="G38" s="31">
        <f>7*0.915</f>
        <v>6.4050000000000002</v>
      </c>
      <c r="H38" s="18" t="s">
        <v>54</v>
      </c>
      <c r="J38" s="14" t="s">
        <v>84</v>
      </c>
      <c r="K38" s="31">
        <f>9*0.915</f>
        <v>8.2349999999999994</v>
      </c>
      <c r="L38" s="18" t="s">
        <v>0</v>
      </c>
    </row>
    <row r="39" spans="2:12" x14ac:dyDescent="0.25">
      <c r="B39" s="14" t="s">
        <v>83</v>
      </c>
      <c r="C39" s="31">
        <f>20*0.915</f>
        <v>18.3</v>
      </c>
      <c r="D39" s="18" t="s">
        <v>0</v>
      </c>
      <c r="F39" s="14" t="s">
        <v>87</v>
      </c>
      <c r="G39" s="31">
        <f>7*0.915</f>
        <v>6.4050000000000002</v>
      </c>
      <c r="H39" s="18" t="s">
        <v>54</v>
      </c>
    </row>
    <row r="40" spans="2:12" x14ac:dyDescent="0.25">
      <c r="B40" s="14" t="s">
        <v>31</v>
      </c>
      <c r="C40" s="31">
        <f>9*0.915</f>
        <v>8.2349999999999994</v>
      </c>
      <c r="D40" s="18" t="s">
        <v>0</v>
      </c>
      <c r="F40" s="14" t="s">
        <v>29</v>
      </c>
      <c r="G40" s="31">
        <f>9*0.915</f>
        <v>8.2349999999999994</v>
      </c>
      <c r="H40" s="18" t="s">
        <v>55</v>
      </c>
    </row>
    <row r="41" spans="2:12" x14ac:dyDescent="0.25">
      <c r="B41" s="14" t="s">
        <v>84</v>
      </c>
      <c r="C41" s="31">
        <f>9*0.915</f>
        <v>8.2349999999999994</v>
      </c>
      <c r="D41" s="18" t="s">
        <v>0</v>
      </c>
      <c r="F41" s="14" t="s">
        <v>88</v>
      </c>
      <c r="G41" s="31">
        <f>9*0.915</f>
        <v>8.2349999999999994</v>
      </c>
      <c r="H41" s="18" t="s">
        <v>55</v>
      </c>
    </row>
    <row r="42" spans="2:12" x14ac:dyDescent="0.25">
      <c r="F42" s="14" t="s">
        <v>30</v>
      </c>
      <c r="G42" s="31">
        <f>12*0.915</f>
        <v>10.98</v>
      </c>
      <c r="H42" s="18" t="s">
        <v>56</v>
      </c>
    </row>
    <row r="43" spans="2:12" x14ac:dyDescent="0.25">
      <c r="F43" s="14" t="s">
        <v>89</v>
      </c>
      <c r="G43" s="31">
        <f>12*0.915</f>
        <v>10.98</v>
      </c>
      <c r="H43" s="18" t="s">
        <v>56</v>
      </c>
    </row>
    <row r="45" spans="2:12" x14ac:dyDescent="0.25">
      <c r="B45" s="249" t="s">
        <v>98</v>
      </c>
      <c r="C45" s="249"/>
      <c r="D45" s="249"/>
      <c r="E45" s="249"/>
      <c r="F45" s="249"/>
      <c r="G45" s="249"/>
      <c r="H45" s="249"/>
      <c r="I45" s="249"/>
      <c r="J45" s="249"/>
      <c r="K45" s="249"/>
      <c r="L45" s="249"/>
    </row>
    <row r="46" spans="2:12" x14ac:dyDescent="0.25">
      <c r="B46" s="14" t="s">
        <v>78</v>
      </c>
      <c r="C46" s="31">
        <f>6*1.09</f>
        <v>6.5400000000000009</v>
      </c>
      <c r="D46" s="18" t="s">
        <v>0</v>
      </c>
      <c r="F46" s="14" t="s">
        <v>51</v>
      </c>
      <c r="G46" s="31">
        <f>10*1.09</f>
        <v>10.9</v>
      </c>
      <c r="H46" s="18" t="s">
        <v>53</v>
      </c>
      <c r="J46" s="14" t="s">
        <v>78</v>
      </c>
      <c r="K46" s="31">
        <f>6*1.09</f>
        <v>6.5400000000000009</v>
      </c>
      <c r="L46" s="18" t="s">
        <v>0</v>
      </c>
    </row>
    <row r="47" spans="2:12" x14ac:dyDescent="0.25">
      <c r="B47" s="13" t="s">
        <v>24</v>
      </c>
      <c r="C47" s="31">
        <f>10*1.09</f>
        <v>10.9</v>
      </c>
      <c r="D47" s="18" t="s">
        <v>0</v>
      </c>
      <c r="F47" s="24" t="s">
        <v>52</v>
      </c>
      <c r="G47" s="31">
        <f>10*1.09</f>
        <v>10.9</v>
      </c>
      <c r="H47" s="18" t="s">
        <v>53</v>
      </c>
      <c r="J47" s="13" t="s">
        <v>24</v>
      </c>
      <c r="K47" s="31">
        <f>10*1.09</f>
        <v>10.9</v>
      </c>
      <c r="L47" s="18" t="s">
        <v>0</v>
      </c>
    </row>
    <row r="48" spans="2:12" x14ac:dyDescent="0.25">
      <c r="B48" s="14" t="s">
        <v>79</v>
      </c>
      <c r="C48" s="31">
        <f t="shared" ref="C48:C50" si="2">10*1.09</f>
        <v>10.9</v>
      </c>
      <c r="D48" s="18" t="s">
        <v>0</v>
      </c>
      <c r="F48" s="14" t="s">
        <v>26</v>
      </c>
      <c r="G48" s="31">
        <f>25*1.09</f>
        <v>27.250000000000004</v>
      </c>
      <c r="H48" s="18" t="s">
        <v>53</v>
      </c>
      <c r="J48" s="14" t="s">
        <v>79</v>
      </c>
      <c r="K48" s="31">
        <f t="shared" ref="K48:K50" si="3">10*1.09</f>
        <v>10.9</v>
      </c>
      <c r="L48" s="18" t="s">
        <v>0</v>
      </c>
    </row>
    <row r="49" spans="2:12" x14ac:dyDescent="0.25">
      <c r="B49" s="23" t="s">
        <v>80</v>
      </c>
      <c r="C49" s="31">
        <f t="shared" si="2"/>
        <v>10.9</v>
      </c>
      <c r="D49" s="18" t="s">
        <v>0</v>
      </c>
      <c r="F49" s="14" t="s">
        <v>85</v>
      </c>
      <c r="G49" s="31">
        <f>25*1.09</f>
        <v>27.250000000000004</v>
      </c>
      <c r="H49" s="18" t="s">
        <v>53</v>
      </c>
      <c r="J49" s="23" t="s">
        <v>80</v>
      </c>
      <c r="K49" s="31">
        <f t="shared" si="3"/>
        <v>10.9</v>
      </c>
      <c r="L49" s="18" t="s">
        <v>0</v>
      </c>
    </row>
    <row r="50" spans="2:12" x14ac:dyDescent="0.25">
      <c r="B50" s="23" t="s">
        <v>81</v>
      </c>
      <c r="C50" s="31">
        <f t="shared" si="2"/>
        <v>10.9</v>
      </c>
      <c r="D50" s="18" t="s">
        <v>0</v>
      </c>
      <c r="F50" s="14" t="s">
        <v>27</v>
      </c>
      <c r="G50" s="31">
        <f>33*1.09</f>
        <v>35.970000000000006</v>
      </c>
      <c r="H50" s="18" t="s">
        <v>53</v>
      </c>
      <c r="J50" s="23" t="s">
        <v>81</v>
      </c>
      <c r="K50" s="31">
        <f t="shared" si="3"/>
        <v>10.9</v>
      </c>
      <c r="L50" s="18" t="s">
        <v>0</v>
      </c>
    </row>
    <row r="51" spans="2:12" x14ac:dyDescent="0.25">
      <c r="B51" s="13" t="s">
        <v>25</v>
      </c>
      <c r="C51" s="31">
        <f>18*1.09</f>
        <v>19.62</v>
      </c>
      <c r="D51" s="18" t="s">
        <v>0</v>
      </c>
      <c r="F51" s="14" t="s">
        <v>86</v>
      </c>
      <c r="G51" s="31">
        <f>33*1.09</f>
        <v>35.970000000000006</v>
      </c>
      <c r="H51" s="18" t="s">
        <v>53</v>
      </c>
      <c r="J51" s="14" t="s">
        <v>31</v>
      </c>
      <c r="K51" s="31">
        <f>9*1.09</f>
        <v>9.81</v>
      </c>
      <c r="L51" s="18" t="s">
        <v>0</v>
      </c>
    </row>
    <row r="52" spans="2:12" x14ac:dyDescent="0.25">
      <c r="B52" s="14" t="s">
        <v>82</v>
      </c>
      <c r="C52" s="31">
        <f>18*1.09</f>
        <v>19.62</v>
      </c>
      <c r="D52" s="18" t="s">
        <v>0</v>
      </c>
      <c r="F52" s="14" t="s">
        <v>28</v>
      </c>
      <c r="G52" s="31">
        <f>7*1.09</f>
        <v>7.6300000000000008</v>
      </c>
      <c r="H52" s="18" t="s">
        <v>54</v>
      </c>
      <c r="J52" s="14" t="s">
        <v>84</v>
      </c>
      <c r="K52" s="31">
        <f>9*1.09</f>
        <v>9.81</v>
      </c>
      <c r="L52" s="18" t="s">
        <v>0</v>
      </c>
    </row>
    <row r="53" spans="2:12" x14ac:dyDescent="0.25">
      <c r="B53" s="14" t="s">
        <v>83</v>
      </c>
      <c r="C53" s="31">
        <f>20*1.09</f>
        <v>21.8</v>
      </c>
      <c r="D53" s="18" t="s">
        <v>0</v>
      </c>
      <c r="F53" s="14" t="s">
        <v>87</v>
      </c>
      <c r="G53" s="31">
        <f>7*1.09</f>
        <v>7.6300000000000008</v>
      </c>
      <c r="H53" s="18" t="s">
        <v>54</v>
      </c>
    </row>
    <row r="54" spans="2:12" x14ac:dyDescent="0.25">
      <c r="B54" s="14" t="s">
        <v>31</v>
      </c>
      <c r="C54" s="31">
        <f>9*1.09</f>
        <v>9.81</v>
      </c>
      <c r="D54" s="18" t="s">
        <v>0</v>
      </c>
      <c r="F54" s="14" t="s">
        <v>29</v>
      </c>
      <c r="G54" s="31">
        <f>9*1.09</f>
        <v>9.81</v>
      </c>
      <c r="H54" s="18" t="s">
        <v>55</v>
      </c>
    </row>
    <row r="55" spans="2:12" x14ac:dyDescent="0.25">
      <c r="B55" s="14" t="s">
        <v>84</v>
      </c>
      <c r="C55" s="31">
        <f>9*1.09</f>
        <v>9.81</v>
      </c>
      <c r="D55" s="18" t="s">
        <v>0</v>
      </c>
      <c r="F55" s="14" t="s">
        <v>88</v>
      </c>
      <c r="G55" s="31">
        <f>9*1.09</f>
        <v>9.81</v>
      </c>
      <c r="H55" s="18" t="s">
        <v>55</v>
      </c>
    </row>
    <row r="56" spans="2:12" x14ac:dyDescent="0.25">
      <c r="F56" s="14" t="s">
        <v>30</v>
      </c>
      <c r="G56" s="31">
        <f>12*1.09</f>
        <v>13.080000000000002</v>
      </c>
      <c r="H56" s="18" t="s">
        <v>56</v>
      </c>
    </row>
    <row r="57" spans="2:12" x14ac:dyDescent="0.25">
      <c r="F57" s="14" t="s">
        <v>89</v>
      </c>
      <c r="G57" s="31">
        <f>12*1.09</f>
        <v>13.080000000000002</v>
      </c>
      <c r="H57" s="18" t="s">
        <v>56</v>
      </c>
    </row>
  </sheetData>
  <mergeCells count="9">
    <mergeCell ref="B45:L45"/>
    <mergeCell ref="C9:H9"/>
    <mergeCell ref="B9:B10"/>
    <mergeCell ref="B4:B5"/>
    <mergeCell ref="B2:G2"/>
    <mergeCell ref="B3:G3"/>
    <mergeCell ref="C4:G4"/>
    <mergeCell ref="B17:L17"/>
    <mergeCell ref="B31:L3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9"/>
  <sheetViews>
    <sheetView topLeftCell="B1" workbookViewId="0">
      <selection activeCell="S60" sqref="S60"/>
    </sheetView>
  </sheetViews>
  <sheetFormatPr defaultRowHeight="15" x14ac:dyDescent="0.25"/>
  <cols>
    <col min="1" max="1" width="11.28515625" customWidth="1"/>
    <col min="2" max="2" width="11.85546875" customWidth="1"/>
    <col min="3" max="3" width="12.28515625" customWidth="1"/>
    <col min="4" max="4" width="7.85546875" customWidth="1"/>
    <col min="5" max="5" width="6.7109375" customWidth="1"/>
    <col min="6" max="6" width="8.140625" customWidth="1"/>
    <col min="7" max="7" width="6.28515625" customWidth="1"/>
    <col min="8" max="8" width="7.42578125" customWidth="1"/>
    <col min="9" max="9" width="8.28515625" customWidth="1"/>
    <col min="10" max="10" width="7.7109375" customWidth="1"/>
    <col min="11" max="11" width="6.42578125" customWidth="1"/>
    <col min="12" max="12" width="2.85546875" customWidth="1"/>
    <col min="13" max="13" width="11.28515625" customWidth="1"/>
    <col min="14" max="14" width="7.85546875" customWidth="1"/>
    <col min="15" max="15" width="7.28515625" customWidth="1"/>
    <col min="16" max="16" width="7.5703125" customWidth="1"/>
    <col min="17" max="17" width="11.140625" customWidth="1"/>
    <col min="18" max="18" width="8.42578125" customWidth="1"/>
    <col min="19" max="19" width="7.7109375" customWidth="1"/>
    <col min="20" max="20" width="9.28515625" customWidth="1"/>
    <col min="21" max="21" width="6.28515625" customWidth="1"/>
    <col min="257" max="257" width="11.28515625" customWidth="1"/>
    <col min="258" max="258" width="11.85546875" customWidth="1"/>
    <col min="259" max="259" width="12.28515625" customWidth="1"/>
    <col min="260" max="260" width="7.85546875" customWidth="1"/>
    <col min="261" max="261" width="6.7109375" customWidth="1"/>
    <col min="262" max="262" width="8.140625" customWidth="1"/>
    <col min="263" max="263" width="6.28515625" customWidth="1"/>
    <col min="264" max="264" width="7.42578125" customWidth="1"/>
    <col min="265" max="265" width="8.28515625" customWidth="1"/>
    <col min="266" max="266" width="7.7109375" customWidth="1"/>
    <col min="267" max="267" width="6.42578125" customWidth="1"/>
    <col min="268" max="268" width="2.85546875" customWidth="1"/>
    <col min="269" max="269" width="11.28515625" customWidth="1"/>
    <col min="270" max="270" width="7.85546875" customWidth="1"/>
    <col min="271" max="271" width="7.28515625" customWidth="1"/>
    <col min="272" max="272" width="7.5703125" customWidth="1"/>
    <col min="273" max="273" width="5.7109375" customWidth="1"/>
    <col min="274" max="274" width="8.42578125" customWidth="1"/>
    <col min="275" max="275" width="7.7109375" customWidth="1"/>
    <col min="276" max="276" width="7.85546875" customWidth="1"/>
    <col min="277" max="277" width="6.28515625" customWidth="1"/>
    <col min="513" max="513" width="11.28515625" customWidth="1"/>
    <col min="514" max="514" width="11.85546875" customWidth="1"/>
    <col min="515" max="515" width="12.28515625" customWidth="1"/>
    <col min="516" max="516" width="7.85546875" customWidth="1"/>
    <col min="517" max="517" width="6.7109375" customWidth="1"/>
    <col min="518" max="518" width="8.140625" customWidth="1"/>
    <col min="519" max="519" width="6.28515625" customWidth="1"/>
    <col min="520" max="520" width="7.42578125" customWidth="1"/>
    <col min="521" max="521" width="8.28515625" customWidth="1"/>
    <col min="522" max="522" width="7.7109375" customWidth="1"/>
    <col min="523" max="523" width="6.42578125" customWidth="1"/>
    <col min="524" max="524" width="2.85546875" customWidth="1"/>
    <col min="525" max="525" width="11.28515625" customWidth="1"/>
    <col min="526" max="526" width="7.85546875" customWidth="1"/>
    <col min="527" max="527" width="7.28515625" customWidth="1"/>
    <col min="528" max="528" width="7.5703125" customWidth="1"/>
    <col min="529" max="529" width="5.7109375" customWidth="1"/>
    <col min="530" max="530" width="8.42578125" customWidth="1"/>
    <col min="531" max="531" width="7.7109375" customWidth="1"/>
    <col min="532" max="532" width="7.85546875" customWidth="1"/>
    <col min="533" max="533" width="6.28515625" customWidth="1"/>
    <col min="769" max="769" width="11.28515625" customWidth="1"/>
    <col min="770" max="770" width="11.85546875" customWidth="1"/>
    <col min="771" max="771" width="12.28515625" customWidth="1"/>
    <col min="772" max="772" width="7.85546875" customWidth="1"/>
    <col min="773" max="773" width="6.7109375" customWidth="1"/>
    <col min="774" max="774" width="8.140625" customWidth="1"/>
    <col min="775" max="775" width="6.28515625" customWidth="1"/>
    <col min="776" max="776" width="7.42578125" customWidth="1"/>
    <col min="777" max="777" width="8.28515625" customWidth="1"/>
    <col min="778" max="778" width="7.7109375" customWidth="1"/>
    <col min="779" max="779" width="6.42578125" customWidth="1"/>
    <col min="780" max="780" width="2.85546875" customWidth="1"/>
    <col min="781" max="781" width="11.28515625" customWidth="1"/>
    <col min="782" max="782" width="7.85546875" customWidth="1"/>
    <col min="783" max="783" width="7.28515625" customWidth="1"/>
    <col min="784" max="784" width="7.5703125" customWidth="1"/>
    <col min="785" max="785" width="5.7109375" customWidth="1"/>
    <col min="786" max="786" width="8.42578125" customWidth="1"/>
    <col min="787" max="787" width="7.7109375" customWidth="1"/>
    <col min="788" max="788" width="7.85546875" customWidth="1"/>
    <col min="789" max="789" width="6.28515625" customWidth="1"/>
    <col min="1025" max="1025" width="11.28515625" customWidth="1"/>
    <col min="1026" max="1026" width="11.85546875" customWidth="1"/>
    <col min="1027" max="1027" width="12.28515625" customWidth="1"/>
    <col min="1028" max="1028" width="7.85546875" customWidth="1"/>
    <col min="1029" max="1029" width="6.7109375" customWidth="1"/>
    <col min="1030" max="1030" width="8.140625" customWidth="1"/>
    <col min="1031" max="1031" width="6.28515625" customWidth="1"/>
    <col min="1032" max="1032" width="7.42578125" customWidth="1"/>
    <col min="1033" max="1033" width="8.28515625" customWidth="1"/>
    <col min="1034" max="1034" width="7.7109375" customWidth="1"/>
    <col min="1035" max="1035" width="6.42578125" customWidth="1"/>
    <col min="1036" max="1036" width="2.85546875" customWidth="1"/>
    <col min="1037" max="1037" width="11.28515625" customWidth="1"/>
    <col min="1038" max="1038" width="7.85546875" customWidth="1"/>
    <col min="1039" max="1039" width="7.28515625" customWidth="1"/>
    <col min="1040" max="1040" width="7.5703125" customWidth="1"/>
    <col min="1041" max="1041" width="5.7109375" customWidth="1"/>
    <col min="1042" max="1042" width="8.42578125" customWidth="1"/>
    <col min="1043" max="1043" width="7.7109375" customWidth="1"/>
    <col min="1044" max="1044" width="7.85546875" customWidth="1"/>
    <col min="1045" max="1045" width="6.28515625" customWidth="1"/>
    <col min="1281" max="1281" width="11.28515625" customWidth="1"/>
    <col min="1282" max="1282" width="11.85546875" customWidth="1"/>
    <col min="1283" max="1283" width="12.28515625" customWidth="1"/>
    <col min="1284" max="1284" width="7.85546875" customWidth="1"/>
    <col min="1285" max="1285" width="6.7109375" customWidth="1"/>
    <col min="1286" max="1286" width="8.140625" customWidth="1"/>
    <col min="1287" max="1287" width="6.28515625" customWidth="1"/>
    <col min="1288" max="1288" width="7.42578125" customWidth="1"/>
    <col min="1289" max="1289" width="8.28515625" customWidth="1"/>
    <col min="1290" max="1290" width="7.7109375" customWidth="1"/>
    <col min="1291" max="1291" width="6.42578125" customWidth="1"/>
    <col min="1292" max="1292" width="2.85546875" customWidth="1"/>
    <col min="1293" max="1293" width="11.28515625" customWidth="1"/>
    <col min="1294" max="1294" width="7.85546875" customWidth="1"/>
    <col min="1295" max="1295" width="7.28515625" customWidth="1"/>
    <col min="1296" max="1296" width="7.5703125" customWidth="1"/>
    <col min="1297" max="1297" width="5.7109375" customWidth="1"/>
    <col min="1298" max="1298" width="8.42578125" customWidth="1"/>
    <col min="1299" max="1299" width="7.7109375" customWidth="1"/>
    <col min="1300" max="1300" width="7.85546875" customWidth="1"/>
    <col min="1301" max="1301" width="6.28515625" customWidth="1"/>
    <col min="1537" max="1537" width="11.28515625" customWidth="1"/>
    <col min="1538" max="1538" width="11.85546875" customWidth="1"/>
    <col min="1539" max="1539" width="12.28515625" customWidth="1"/>
    <col min="1540" max="1540" width="7.85546875" customWidth="1"/>
    <col min="1541" max="1541" width="6.7109375" customWidth="1"/>
    <col min="1542" max="1542" width="8.140625" customWidth="1"/>
    <col min="1543" max="1543" width="6.28515625" customWidth="1"/>
    <col min="1544" max="1544" width="7.42578125" customWidth="1"/>
    <col min="1545" max="1545" width="8.28515625" customWidth="1"/>
    <col min="1546" max="1546" width="7.7109375" customWidth="1"/>
    <col min="1547" max="1547" width="6.42578125" customWidth="1"/>
    <col min="1548" max="1548" width="2.85546875" customWidth="1"/>
    <col min="1549" max="1549" width="11.28515625" customWidth="1"/>
    <col min="1550" max="1550" width="7.85546875" customWidth="1"/>
    <col min="1551" max="1551" width="7.28515625" customWidth="1"/>
    <col min="1552" max="1552" width="7.5703125" customWidth="1"/>
    <col min="1553" max="1553" width="5.7109375" customWidth="1"/>
    <col min="1554" max="1554" width="8.42578125" customWidth="1"/>
    <col min="1555" max="1555" width="7.7109375" customWidth="1"/>
    <col min="1556" max="1556" width="7.85546875" customWidth="1"/>
    <col min="1557" max="1557" width="6.28515625" customWidth="1"/>
    <col min="1793" max="1793" width="11.28515625" customWidth="1"/>
    <col min="1794" max="1794" width="11.85546875" customWidth="1"/>
    <col min="1795" max="1795" width="12.28515625" customWidth="1"/>
    <col min="1796" max="1796" width="7.85546875" customWidth="1"/>
    <col min="1797" max="1797" width="6.7109375" customWidth="1"/>
    <col min="1798" max="1798" width="8.140625" customWidth="1"/>
    <col min="1799" max="1799" width="6.28515625" customWidth="1"/>
    <col min="1800" max="1800" width="7.42578125" customWidth="1"/>
    <col min="1801" max="1801" width="8.28515625" customWidth="1"/>
    <col min="1802" max="1802" width="7.7109375" customWidth="1"/>
    <col min="1803" max="1803" width="6.42578125" customWidth="1"/>
    <col min="1804" max="1804" width="2.85546875" customWidth="1"/>
    <col min="1805" max="1805" width="11.28515625" customWidth="1"/>
    <col min="1806" max="1806" width="7.85546875" customWidth="1"/>
    <col min="1807" max="1807" width="7.28515625" customWidth="1"/>
    <col min="1808" max="1808" width="7.5703125" customWidth="1"/>
    <col min="1809" max="1809" width="5.7109375" customWidth="1"/>
    <col min="1810" max="1810" width="8.42578125" customWidth="1"/>
    <col min="1811" max="1811" width="7.7109375" customWidth="1"/>
    <col min="1812" max="1812" width="7.85546875" customWidth="1"/>
    <col min="1813" max="1813" width="6.28515625" customWidth="1"/>
    <col min="2049" max="2049" width="11.28515625" customWidth="1"/>
    <col min="2050" max="2050" width="11.85546875" customWidth="1"/>
    <col min="2051" max="2051" width="12.28515625" customWidth="1"/>
    <col min="2052" max="2052" width="7.85546875" customWidth="1"/>
    <col min="2053" max="2053" width="6.7109375" customWidth="1"/>
    <col min="2054" max="2054" width="8.140625" customWidth="1"/>
    <col min="2055" max="2055" width="6.28515625" customWidth="1"/>
    <col min="2056" max="2056" width="7.42578125" customWidth="1"/>
    <col min="2057" max="2057" width="8.28515625" customWidth="1"/>
    <col min="2058" max="2058" width="7.7109375" customWidth="1"/>
    <col min="2059" max="2059" width="6.42578125" customWidth="1"/>
    <col min="2060" max="2060" width="2.85546875" customWidth="1"/>
    <col min="2061" max="2061" width="11.28515625" customWidth="1"/>
    <col min="2062" max="2062" width="7.85546875" customWidth="1"/>
    <col min="2063" max="2063" width="7.28515625" customWidth="1"/>
    <col min="2064" max="2064" width="7.5703125" customWidth="1"/>
    <col min="2065" max="2065" width="5.7109375" customWidth="1"/>
    <col min="2066" max="2066" width="8.42578125" customWidth="1"/>
    <col min="2067" max="2067" width="7.7109375" customWidth="1"/>
    <col min="2068" max="2068" width="7.85546875" customWidth="1"/>
    <col min="2069" max="2069" width="6.28515625" customWidth="1"/>
    <col min="2305" max="2305" width="11.28515625" customWidth="1"/>
    <col min="2306" max="2306" width="11.85546875" customWidth="1"/>
    <col min="2307" max="2307" width="12.28515625" customWidth="1"/>
    <col min="2308" max="2308" width="7.85546875" customWidth="1"/>
    <col min="2309" max="2309" width="6.7109375" customWidth="1"/>
    <col min="2310" max="2310" width="8.140625" customWidth="1"/>
    <col min="2311" max="2311" width="6.28515625" customWidth="1"/>
    <col min="2312" max="2312" width="7.42578125" customWidth="1"/>
    <col min="2313" max="2313" width="8.28515625" customWidth="1"/>
    <col min="2314" max="2314" width="7.7109375" customWidth="1"/>
    <col min="2315" max="2315" width="6.42578125" customWidth="1"/>
    <col min="2316" max="2316" width="2.85546875" customWidth="1"/>
    <col min="2317" max="2317" width="11.28515625" customWidth="1"/>
    <col min="2318" max="2318" width="7.85546875" customWidth="1"/>
    <col min="2319" max="2319" width="7.28515625" customWidth="1"/>
    <col min="2320" max="2320" width="7.5703125" customWidth="1"/>
    <col min="2321" max="2321" width="5.7109375" customWidth="1"/>
    <col min="2322" max="2322" width="8.42578125" customWidth="1"/>
    <col min="2323" max="2323" width="7.7109375" customWidth="1"/>
    <col min="2324" max="2324" width="7.85546875" customWidth="1"/>
    <col min="2325" max="2325" width="6.28515625" customWidth="1"/>
    <col min="2561" max="2561" width="11.28515625" customWidth="1"/>
    <col min="2562" max="2562" width="11.85546875" customWidth="1"/>
    <col min="2563" max="2563" width="12.28515625" customWidth="1"/>
    <col min="2564" max="2564" width="7.85546875" customWidth="1"/>
    <col min="2565" max="2565" width="6.7109375" customWidth="1"/>
    <col min="2566" max="2566" width="8.140625" customWidth="1"/>
    <col min="2567" max="2567" width="6.28515625" customWidth="1"/>
    <col min="2568" max="2568" width="7.42578125" customWidth="1"/>
    <col min="2569" max="2569" width="8.28515625" customWidth="1"/>
    <col min="2570" max="2570" width="7.7109375" customWidth="1"/>
    <col min="2571" max="2571" width="6.42578125" customWidth="1"/>
    <col min="2572" max="2572" width="2.85546875" customWidth="1"/>
    <col min="2573" max="2573" width="11.28515625" customWidth="1"/>
    <col min="2574" max="2574" width="7.85546875" customWidth="1"/>
    <col min="2575" max="2575" width="7.28515625" customWidth="1"/>
    <col min="2576" max="2576" width="7.5703125" customWidth="1"/>
    <col min="2577" max="2577" width="5.7109375" customWidth="1"/>
    <col min="2578" max="2578" width="8.42578125" customWidth="1"/>
    <col min="2579" max="2579" width="7.7109375" customWidth="1"/>
    <col min="2580" max="2580" width="7.85546875" customWidth="1"/>
    <col min="2581" max="2581" width="6.28515625" customWidth="1"/>
    <col min="2817" max="2817" width="11.28515625" customWidth="1"/>
    <col min="2818" max="2818" width="11.85546875" customWidth="1"/>
    <col min="2819" max="2819" width="12.28515625" customWidth="1"/>
    <col min="2820" max="2820" width="7.85546875" customWidth="1"/>
    <col min="2821" max="2821" width="6.7109375" customWidth="1"/>
    <col min="2822" max="2822" width="8.140625" customWidth="1"/>
    <col min="2823" max="2823" width="6.28515625" customWidth="1"/>
    <col min="2824" max="2824" width="7.42578125" customWidth="1"/>
    <col min="2825" max="2825" width="8.28515625" customWidth="1"/>
    <col min="2826" max="2826" width="7.7109375" customWidth="1"/>
    <col min="2827" max="2827" width="6.42578125" customWidth="1"/>
    <col min="2828" max="2828" width="2.85546875" customWidth="1"/>
    <col min="2829" max="2829" width="11.28515625" customWidth="1"/>
    <col min="2830" max="2830" width="7.85546875" customWidth="1"/>
    <col min="2831" max="2831" width="7.28515625" customWidth="1"/>
    <col min="2832" max="2832" width="7.5703125" customWidth="1"/>
    <col min="2833" max="2833" width="5.7109375" customWidth="1"/>
    <col min="2834" max="2834" width="8.42578125" customWidth="1"/>
    <col min="2835" max="2835" width="7.7109375" customWidth="1"/>
    <col min="2836" max="2836" width="7.85546875" customWidth="1"/>
    <col min="2837" max="2837" width="6.28515625" customWidth="1"/>
    <col min="3073" max="3073" width="11.28515625" customWidth="1"/>
    <col min="3074" max="3074" width="11.85546875" customWidth="1"/>
    <col min="3075" max="3075" width="12.28515625" customWidth="1"/>
    <col min="3076" max="3076" width="7.85546875" customWidth="1"/>
    <col min="3077" max="3077" width="6.7109375" customWidth="1"/>
    <col min="3078" max="3078" width="8.140625" customWidth="1"/>
    <col min="3079" max="3079" width="6.28515625" customWidth="1"/>
    <col min="3080" max="3080" width="7.42578125" customWidth="1"/>
    <col min="3081" max="3081" width="8.28515625" customWidth="1"/>
    <col min="3082" max="3082" width="7.7109375" customWidth="1"/>
    <col min="3083" max="3083" width="6.42578125" customWidth="1"/>
    <col min="3084" max="3084" width="2.85546875" customWidth="1"/>
    <col min="3085" max="3085" width="11.28515625" customWidth="1"/>
    <col min="3086" max="3086" width="7.85546875" customWidth="1"/>
    <col min="3087" max="3087" width="7.28515625" customWidth="1"/>
    <col min="3088" max="3088" width="7.5703125" customWidth="1"/>
    <col min="3089" max="3089" width="5.7109375" customWidth="1"/>
    <col min="3090" max="3090" width="8.42578125" customWidth="1"/>
    <col min="3091" max="3091" width="7.7109375" customWidth="1"/>
    <col min="3092" max="3092" width="7.85546875" customWidth="1"/>
    <col min="3093" max="3093" width="6.28515625" customWidth="1"/>
    <col min="3329" max="3329" width="11.28515625" customWidth="1"/>
    <col min="3330" max="3330" width="11.85546875" customWidth="1"/>
    <col min="3331" max="3331" width="12.28515625" customWidth="1"/>
    <col min="3332" max="3332" width="7.85546875" customWidth="1"/>
    <col min="3333" max="3333" width="6.7109375" customWidth="1"/>
    <col min="3334" max="3334" width="8.140625" customWidth="1"/>
    <col min="3335" max="3335" width="6.28515625" customWidth="1"/>
    <col min="3336" max="3336" width="7.42578125" customWidth="1"/>
    <col min="3337" max="3337" width="8.28515625" customWidth="1"/>
    <col min="3338" max="3338" width="7.7109375" customWidth="1"/>
    <col min="3339" max="3339" width="6.42578125" customWidth="1"/>
    <col min="3340" max="3340" width="2.85546875" customWidth="1"/>
    <col min="3341" max="3341" width="11.28515625" customWidth="1"/>
    <col min="3342" max="3342" width="7.85546875" customWidth="1"/>
    <col min="3343" max="3343" width="7.28515625" customWidth="1"/>
    <col min="3344" max="3344" width="7.5703125" customWidth="1"/>
    <col min="3345" max="3345" width="5.7109375" customWidth="1"/>
    <col min="3346" max="3346" width="8.42578125" customWidth="1"/>
    <col min="3347" max="3347" width="7.7109375" customWidth="1"/>
    <col min="3348" max="3348" width="7.85546875" customWidth="1"/>
    <col min="3349" max="3349" width="6.28515625" customWidth="1"/>
    <col min="3585" max="3585" width="11.28515625" customWidth="1"/>
    <col min="3586" max="3586" width="11.85546875" customWidth="1"/>
    <col min="3587" max="3587" width="12.28515625" customWidth="1"/>
    <col min="3588" max="3588" width="7.85546875" customWidth="1"/>
    <col min="3589" max="3589" width="6.7109375" customWidth="1"/>
    <col min="3590" max="3590" width="8.140625" customWidth="1"/>
    <col min="3591" max="3591" width="6.28515625" customWidth="1"/>
    <col min="3592" max="3592" width="7.42578125" customWidth="1"/>
    <col min="3593" max="3593" width="8.28515625" customWidth="1"/>
    <col min="3594" max="3594" width="7.7109375" customWidth="1"/>
    <col min="3595" max="3595" width="6.42578125" customWidth="1"/>
    <col min="3596" max="3596" width="2.85546875" customWidth="1"/>
    <col min="3597" max="3597" width="11.28515625" customWidth="1"/>
    <col min="3598" max="3598" width="7.85546875" customWidth="1"/>
    <col min="3599" max="3599" width="7.28515625" customWidth="1"/>
    <col min="3600" max="3600" width="7.5703125" customWidth="1"/>
    <col min="3601" max="3601" width="5.7109375" customWidth="1"/>
    <col min="3602" max="3602" width="8.42578125" customWidth="1"/>
    <col min="3603" max="3603" width="7.7109375" customWidth="1"/>
    <col min="3604" max="3604" width="7.85546875" customWidth="1"/>
    <col min="3605" max="3605" width="6.28515625" customWidth="1"/>
    <col min="3841" max="3841" width="11.28515625" customWidth="1"/>
    <col min="3842" max="3842" width="11.85546875" customWidth="1"/>
    <col min="3843" max="3843" width="12.28515625" customWidth="1"/>
    <col min="3844" max="3844" width="7.85546875" customWidth="1"/>
    <col min="3845" max="3845" width="6.7109375" customWidth="1"/>
    <col min="3846" max="3846" width="8.140625" customWidth="1"/>
    <col min="3847" max="3847" width="6.28515625" customWidth="1"/>
    <col min="3848" max="3848" width="7.42578125" customWidth="1"/>
    <col min="3849" max="3849" width="8.28515625" customWidth="1"/>
    <col min="3850" max="3850" width="7.7109375" customWidth="1"/>
    <col min="3851" max="3851" width="6.42578125" customWidth="1"/>
    <col min="3852" max="3852" width="2.85546875" customWidth="1"/>
    <col min="3853" max="3853" width="11.28515625" customWidth="1"/>
    <col min="3854" max="3854" width="7.85546875" customWidth="1"/>
    <col min="3855" max="3855" width="7.28515625" customWidth="1"/>
    <col min="3856" max="3856" width="7.5703125" customWidth="1"/>
    <col min="3857" max="3857" width="5.7109375" customWidth="1"/>
    <col min="3858" max="3858" width="8.42578125" customWidth="1"/>
    <col min="3859" max="3859" width="7.7109375" customWidth="1"/>
    <col min="3860" max="3860" width="7.85546875" customWidth="1"/>
    <col min="3861" max="3861" width="6.28515625" customWidth="1"/>
    <col min="4097" max="4097" width="11.28515625" customWidth="1"/>
    <col min="4098" max="4098" width="11.85546875" customWidth="1"/>
    <col min="4099" max="4099" width="12.28515625" customWidth="1"/>
    <col min="4100" max="4100" width="7.85546875" customWidth="1"/>
    <col min="4101" max="4101" width="6.7109375" customWidth="1"/>
    <col min="4102" max="4102" width="8.140625" customWidth="1"/>
    <col min="4103" max="4103" width="6.28515625" customWidth="1"/>
    <col min="4104" max="4104" width="7.42578125" customWidth="1"/>
    <col min="4105" max="4105" width="8.28515625" customWidth="1"/>
    <col min="4106" max="4106" width="7.7109375" customWidth="1"/>
    <col min="4107" max="4107" width="6.42578125" customWidth="1"/>
    <col min="4108" max="4108" width="2.85546875" customWidth="1"/>
    <col min="4109" max="4109" width="11.28515625" customWidth="1"/>
    <col min="4110" max="4110" width="7.85546875" customWidth="1"/>
    <col min="4111" max="4111" width="7.28515625" customWidth="1"/>
    <col min="4112" max="4112" width="7.5703125" customWidth="1"/>
    <col min="4113" max="4113" width="5.7109375" customWidth="1"/>
    <col min="4114" max="4114" width="8.42578125" customWidth="1"/>
    <col min="4115" max="4115" width="7.7109375" customWidth="1"/>
    <col min="4116" max="4116" width="7.85546875" customWidth="1"/>
    <col min="4117" max="4117" width="6.28515625" customWidth="1"/>
    <col min="4353" max="4353" width="11.28515625" customWidth="1"/>
    <col min="4354" max="4354" width="11.85546875" customWidth="1"/>
    <col min="4355" max="4355" width="12.28515625" customWidth="1"/>
    <col min="4356" max="4356" width="7.85546875" customWidth="1"/>
    <col min="4357" max="4357" width="6.7109375" customWidth="1"/>
    <col min="4358" max="4358" width="8.140625" customWidth="1"/>
    <col min="4359" max="4359" width="6.28515625" customWidth="1"/>
    <col min="4360" max="4360" width="7.42578125" customWidth="1"/>
    <col min="4361" max="4361" width="8.28515625" customWidth="1"/>
    <col min="4362" max="4362" width="7.7109375" customWidth="1"/>
    <col min="4363" max="4363" width="6.42578125" customWidth="1"/>
    <col min="4364" max="4364" width="2.85546875" customWidth="1"/>
    <col min="4365" max="4365" width="11.28515625" customWidth="1"/>
    <col min="4366" max="4366" width="7.85546875" customWidth="1"/>
    <col min="4367" max="4367" width="7.28515625" customWidth="1"/>
    <col min="4368" max="4368" width="7.5703125" customWidth="1"/>
    <col min="4369" max="4369" width="5.7109375" customWidth="1"/>
    <col min="4370" max="4370" width="8.42578125" customWidth="1"/>
    <col min="4371" max="4371" width="7.7109375" customWidth="1"/>
    <col min="4372" max="4372" width="7.85546875" customWidth="1"/>
    <col min="4373" max="4373" width="6.28515625" customWidth="1"/>
    <col min="4609" max="4609" width="11.28515625" customWidth="1"/>
    <col min="4610" max="4610" width="11.85546875" customWidth="1"/>
    <col min="4611" max="4611" width="12.28515625" customWidth="1"/>
    <col min="4612" max="4612" width="7.85546875" customWidth="1"/>
    <col min="4613" max="4613" width="6.7109375" customWidth="1"/>
    <col min="4614" max="4614" width="8.140625" customWidth="1"/>
    <col min="4615" max="4615" width="6.28515625" customWidth="1"/>
    <col min="4616" max="4616" width="7.42578125" customWidth="1"/>
    <col min="4617" max="4617" width="8.28515625" customWidth="1"/>
    <col min="4618" max="4618" width="7.7109375" customWidth="1"/>
    <col min="4619" max="4619" width="6.42578125" customWidth="1"/>
    <col min="4620" max="4620" width="2.85546875" customWidth="1"/>
    <col min="4621" max="4621" width="11.28515625" customWidth="1"/>
    <col min="4622" max="4622" width="7.85546875" customWidth="1"/>
    <col min="4623" max="4623" width="7.28515625" customWidth="1"/>
    <col min="4624" max="4624" width="7.5703125" customWidth="1"/>
    <col min="4625" max="4625" width="5.7109375" customWidth="1"/>
    <col min="4626" max="4626" width="8.42578125" customWidth="1"/>
    <col min="4627" max="4627" width="7.7109375" customWidth="1"/>
    <col min="4628" max="4628" width="7.85546875" customWidth="1"/>
    <col min="4629" max="4629" width="6.28515625" customWidth="1"/>
    <col min="4865" max="4865" width="11.28515625" customWidth="1"/>
    <col min="4866" max="4866" width="11.85546875" customWidth="1"/>
    <col min="4867" max="4867" width="12.28515625" customWidth="1"/>
    <col min="4868" max="4868" width="7.85546875" customWidth="1"/>
    <col min="4869" max="4869" width="6.7109375" customWidth="1"/>
    <col min="4870" max="4870" width="8.140625" customWidth="1"/>
    <col min="4871" max="4871" width="6.28515625" customWidth="1"/>
    <col min="4872" max="4872" width="7.42578125" customWidth="1"/>
    <col min="4873" max="4873" width="8.28515625" customWidth="1"/>
    <col min="4874" max="4874" width="7.7109375" customWidth="1"/>
    <col min="4875" max="4875" width="6.42578125" customWidth="1"/>
    <col min="4876" max="4876" width="2.85546875" customWidth="1"/>
    <col min="4877" max="4877" width="11.28515625" customWidth="1"/>
    <col min="4878" max="4878" width="7.85546875" customWidth="1"/>
    <col min="4879" max="4879" width="7.28515625" customWidth="1"/>
    <col min="4880" max="4880" width="7.5703125" customWidth="1"/>
    <col min="4881" max="4881" width="5.7109375" customWidth="1"/>
    <col min="4882" max="4882" width="8.42578125" customWidth="1"/>
    <col min="4883" max="4883" width="7.7109375" customWidth="1"/>
    <col min="4884" max="4884" width="7.85546875" customWidth="1"/>
    <col min="4885" max="4885" width="6.28515625" customWidth="1"/>
    <col min="5121" max="5121" width="11.28515625" customWidth="1"/>
    <col min="5122" max="5122" width="11.85546875" customWidth="1"/>
    <col min="5123" max="5123" width="12.28515625" customWidth="1"/>
    <col min="5124" max="5124" width="7.85546875" customWidth="1"/>
    <col min="5125" max="5125" width="6.7109375" customWidth="1"/>
    <col min="5126" max="5126" width="8.140625" customWidth="1"/>
    <col min="5127" max="5127" width="6.28515625" customWidth="1"/>
    <col min="5128" max="5128" width="7.42578125" customWidth="1"/>
    <col min="5129" max="5129" width="8.28515625" customWidth="1"/>
    <col min="5130" max="5130" width="7.7109375" customWidth="1"/>
    <col min="5131" max="5131" width="6.42578125" customWidth="1"/>
    <col min="5132" max="5132" width="2.85546875" customWidth="1"/>
    <col min="5133" max="5133" width="11.28515625" customWidth="1"/>
    <col min="5134" max="5134" width="7.85546875" customWidth="1"/>
    <col min="5135" max="5135" width="7.28515625" customWidth="1"/>
    <col min="5136" max="5136" width="7.5703125" customWidth="1"/>
    <col min="5137" max="5137" width="5.7109375" customWidth="1"/>
    <col min="5138" max="5138" width="8.42578125" customWidth="1"/>
    <col min="5139" max="5139" width="7.7109375" customWidth="1"/>
    <col min="5140" max="5140" width="7.85546875" customWidth="1"/>
    <col min="5141" max="5141" width="6.28515625" customWidth="1"/>
    <col min="5377" max="5377" width="11.28515625" customWidth="1"/>
    <col min="5378" max="5378" width="11.85546875" customWidth="1"/>
    <col min="5379" max="5379" width="12.28515625" customWidth="1"/>
    <col min="5380" max="5380" width="7.85546875" customWidth="1"/>
    <col min="5381" max="5381" width="6.7109375" customWidth="1"/>
    <col min="5382" max="5382" width="8.140625" customWidth="1"/>
    <col min="5383" max="5383" width="6.28515625" customWidth="1"/>
    <col min="5384" max="5384" width="7.42578125" customWidth="1"/>
    <col min="5385" max="5385" width="8.28515625" customWidth="1"/>
    <col min="5386" max="5386" width="7.7109375" customWidth="1"/>
    <col min="5387" max="5387" width="6.42578125" customWidth="1"/>
    <col min="5388" max="5388" width="2.85546875" customWidth="1"/>
    <col min="5389" max="5389" width="11.28515625" customWidth="1"/>
    <col min="5390" max="5390" width="7.85546875" customWidth="1"/>
    <col min="5391" max="5391" width="7.28515625" customWidth="1"/>
    <col min="5392" max="5392" width="7.5703125" customWidth="1"/>
    <col min="5393" max="5393" width="5.7109375" customWidth="1"/>
    <col min="5394" max="5394" width="8.42578125" customWidth="1"/>
    <col min="5395" max="5395" width="7.7109375" customWidth="1"/>
    <col min="5396" max="5396" width="7.85546875" customWidth="1"/>
    <col min="5397" max="5397" width="6.28515625" customWidth="1"/>
    <col min="5633" max="5633" width="11.28515625" customWidth="1"/>
    <col min="5634" max="5634" width="11.85546875" customWidth="1"/>
    <col min="5635" max="5635" width="12.28515625" customWidth="1"/>
    <col min="5636" max="5636" width="7.85546875" customWidth="1"/>
    <col min="5637" max="5637" width="6.7109375" customWidth="1"/>
    <col min="5638" max="5638" width="8.140625" customWidth="1"/>
    <col min="5639" max="5639" width="6.28515625" customWidth="1"/>
    <col min="5640" max="5640" width="7.42578125" customWidth="1"/>
    <col min="5641" max="5641" width="8.28515625" customWidth="1"/>
    <col min="5642" max="5642" width="7.7109375" customWidth="1"/>
    <col min="5643" max="5643" width="6.42578125" customWidth="1"/>
    <col min="5644" max="5644" width="2.85546875" customWidth="1"/>
    <col min="5645" max="5645" width="11.28515625" customWidth="1"/>
    <col min="5646" max="5646" width="7.85546875" customWidth="1"/>
    <col min="5647" max="5647" width="7.28515625" customWidth="1"/>
    <col min="5648" max="5648" width="7.5703125" customWidth="1"/>
    <col min="5649" max="5649" width="5.7109375" customWidth="1"/>
    <col min="5650" max="5650" width="8.42578125" customWidth="1"/>
    <col min="5651" max="5651" width="7.7109375" customWidth="1"/>
    <col min="5652" max="5652" width="7.85546875" customWidth="1"/>
    <col min="5653" max="5653" width="6.28515625" customWidth="1"/>
    <col min="5889" max="5889" width="11.28515625" customWidth="1"/>
    <col min="5890" max="5890" width="11.85546875" customWidth="1"/>
    <col min="5891" max="5891" width="12.28515625" customWidth="1"/>
    <col min="5892" max="5892" width="7.85546875" customWidth="1"/>
    <col min="5893" max="5893" width="6.7109375" customWidth="1"/>
    <col min="5894" max="5894" width="8.140625" customWidth="1"/>
    <col min="5895" max="5895" width="6.28515625" customWidth="1"/>
    <col min="5896" max="5896" width="7.42578125" customWidth="1"/>
    <col min="5897" max="5897" width="8.28515625" customWidth="1"/>
    <col min="5898" max="5898" width="7.7109375" customWidth="1"/>
    <col min="5899" max="5899" width="6.42578125" customWidth="1"/>
    <col min="5900" max="5900" width="2.85546875" customWidth="1"/>
    <col min="5901" max="5901" width="11.28515625" customWidth="1"/>
    <col min="5902" max="5902" width="7.85546875" customWidth="1"/>
    <col min="5903" max="5903" width="7.28515625" customWidth="1"/>
    <col min="5904" max="5904" width="7.5703125" customWidth="1"/>
    <col min="5905" max="5905" width="5.7109375" customWidth="1"/>
    <col min="5906" max="5906" width="8.42578125" customWidth="1"/>
    <col min="5907" max="5907" width="7.7109375" customWidth="1"/>
    <col min="5908" max="5908" width="7.85546875" customWidth="1"/>
    <col min="5909" max="5909" width="6.28515625" customWidth="1"/>
    <col min="6145" max="6145" width="11.28515625" customWidth="1"/>
    <col min="6146" max="6146" width="11.85546875" customWidth="1"/>
    <col min="6147" max="6147" width="12.28515625" customWidth="1"/>
    <col min="6148" max="6148" width="7.85546875" customWidth="1"/>
    <col min="6149" max="6149" width="6.7109375" customWidth="1"/>
    <col min="6150" max="6150" width="8.140625" customWidth="1"/>
    <col min="6151" max="6151" width="6.28515625" customWidth="1"/>
    <col min="6152" max="6152" width="7.42578125" customWidth="1"/>
    <col min="6153" max="6153" width="8.28515625" customWidth="1"/>
    <col min="6154" max="6154" width="7.7109375" customWidth="1"/>
    <col min="6155" max="6155" width="6.42578125" customWidth="1"/>
    <col min="6156" max="6156" width="2.85546875" customWidth="1"/>
    <col min="6157" max="6157" width="11.28515625" customWidth="1"/>
    <col min="6158" max="6158" width="7.85546875" customWidth="1"/>
    <col min="6159" max="6159" width="7.28515625" customWidth="1"/>
    <col min="6160" max="6160" width="7.5703125" customWidth="1"/>
    <col min="6161" max="6161" width="5.7109375" customWidth="1"/>
    <col min="6162" max="6162" width="8.42578125" customWidth="1"/>
    <col min="6163" max="6163" width="7.7109375" customWidth="1"/>
    <col min="6164" max="6164" width="7.85546875" customWidth="1"/>
    <col min="6165" max="6165" width="6.28515625" customWidth="1"/>
    <col min="6401" max="6401" width="11.28515625" customWidth="1"/>
    <col min="6402" max="6402" width="11.85546875" customWidth="1"/>
    <col min="6403" max="6403" width="12.28515625" customWidth="1"/>
    <col min="6404" max="6404" width="7.85546875" customWidth="1"/>
    <col min="6405" max="6405" width="6.7109375" customWidth="1"/>
    <col min="6406" max="6406" width="8.140625" customWidth="1"/>
    <col min="6407" max="6407" width="6.28515625" customWidth="1"/>
    <col min="6408" max="6408" width="7.42578125" customWidth="1"/>
    <col min="6409" max="6409" width="8.28515625" customWidth="1"/>
    <col min="6410" max="6410" width="7.7109375" customWidth="1"/>
    <col min="6411" max="6411" width="6.42578125" customWidth="1"/>
    <col min="6412" max="6412" width="2.85546875" customWidth="1"/>
    <col min="6413" max="6413" width="11.28515625" customWidth="1"/>
    <col min="6414" max="6414" width="7.85546875" customWidth="1"/>
    <col min="6415" max="6415" width="7.28515625" customWidth="1"/>
    <col min="6416" max="6416" width="7.5703125" customWidth="1"/>
    <col min="6417" max="6417" width="5.7109375" customWidth="1"/>
    <col min="6418" max="6418" width="8.42578125" customWidth="1"/>
    <col min="6419" max="6419" width="7.7109375" customWidth="1"/>
    <col min="6420" max="6420" width="7.85546875" customWidth="1"/>
    <col min="6421" max="6421" width="6.28515625" customWidth="1"/>
    <col min="6657" max="6657" width="11.28515625" customWidth="1"/>
    <col min="6658" max="6658" width="11.85546875" customWidth="1"/>
    <col min="6659" max="6659" width="12.28515625" customWidth="1"/>
    <col min="6660" max="6660" width="7.85546875" customWidth="1"/>
    <col min="6661" max="6661" width="6.7109375" customWidth="1"/>
    <col min="6662" max="6662" width="8.140625" customWidth="1"/>
    <col min="6663" max="6663" width="6.28515625" customWidth="1"/>
    <col min="6664" max="6664" width="7.42578125" customWidth="1"/>
    <col min="6665" max="6665" width="8.28515625" customWidth="1"/>
    <col min="6666" max="6666" width="7.7109375" customWidth="1"/>
    <col min="6667" max="6667" width="6.42578125" customWidth="1"/>
    <col min="6668" max="6668" width="2.85546875" customWidth="1"/>
    <col min="6669" max="6669" width="11.28515625" customWidth="1"/>
    <col min="6670" max="6670" width="7.85546875" customWidth="1"/>
    <col min="6671" max="6671" width="7.28515625" customWidth="1"/>
    <col min="6672" max="6672" width="7.5703125" customWidth="1"/>
    <col min="6673" max="6673" width="5.7109375" customWidth="1"/>
    <col min="6674" max="6674" width="8.42578125" customWidth="1"/>
    <col min="6675" max="6675" width="7.7109375" customWidth="1"/>
    <col min="6676" max="6676" width="7.85546875" customWidth="1"/>
    <col min="6677" max="6677" width="6.28515625" customWidth="1"/>
    <col min="6913" max="6913" width="11.28515625" customWidth="1"/>
    <col min="6914" max="6914" width="11.85546875" customWidth="1"/>
    <col min="6915" max="6915" width="12.28515625" customWidth="1"/>
    <col min="6916" max="6916" width="7.85546875" customWidth="1"/>
    <col min="6917" max="6917" width="6.7109375" customWidth="1"/>
    <col min="6918" max="6918" width="8.140625" customWidth="1"/>
    <col min="6919" max="6919" width="6.28515625" customWidth="1"/>
    <col min="6920" max="6920" width="7.42578125" customWidth="1"/>
    <col min="6921" max="6921" width="8.28515625" customWidth="1"/>
    <col min="6922" max="6922" width="7.7109375" customWidth="1"/>
    <col min="6923" max="6923" width="6.42578125" customWidth="1"/>
    <col min="6924" max="6924" width="2.85546875" customWidth="1"/>
    <col min="6925" max="6925" width="11.28515625" customWidth="1"/>
    <col min="6926" max="6926" width="7.85546875" customWidth="1"/>
    <col min="6927" max="6927" width="7.28515625" customWidth="1"/>
    <col min="6928" max="6928" width="7.5703125" customWidth="1"/>
    <col min="6929" max="6929" width="5.7109375" customWidth="1"/>
    <col min="6930" max="6930" width="8.42578125" customWidth="1"/>
    <col min="6931" max="6931" width="7.7109375" customWidth="1"/>
    <col min="6932" max="6932" width="7.85546875" customWidth="1"/>
    <col min="6933" max="6933" width="6.28515625" customWidth="1"/>
    <col min="7169" max="7169" width="11.28515625" customWidth="1"/>
    <col min="7170" max="7170" width="11.85546875" customWidth="1"/>
    <col min="7171" max="7171" width="12.28515625" customWidth="1"/>
    <col min="7172" max="7172" width="7.85546875" customWidth="1"/>
    <col min="7173" max="7173" width="6.7109375" customWidth="1"/>
    <col min="7174" max="7174" width="8.140625" customWidth="1"/>
    <col min="7175" max="7175" width="6.28515625" customWidth="1"/>
    <col min="7176" max="7176" width="7.42578125" customWidth="1"/>
    <col min="7177" max="7177" width="8.28515625" customWidth="1"/>
    <col min="7178" max="7178" width="7.7109375" customWidth="1"/>
    <col min="7179" max="7179" width="6.42578125" customWidth="1"/>
    <col min="7180" max="7180" width="2.85546875" customWidth="1"/>
    <col min="7181" max="7181" width="11.28515625" customWidth="1"/>
    <col min="7182" max="7182" width="7.85546875" customWidth="1"/>
    <col min="7183" max="7183" width="7.28515625" customWidth="1"/>
    <col min="7184" max="7184" width="7.5703125" customWidth="1"/>
    <col min="7185" max="7185" width="5.7109375" customWidth="1"/>
    <col min="7186" max="7186" width="8.42578125" customWidth="1"/>
    <col min="7187" max="7187" width="7.7109375" customWidth="1"/>
    <col min="7188" max="7188" width="7.85546875" customWidth="1"/>
    <col min="7189" max="7189" width="6.28515625" customWidth="1"/>
    <col min="7425" max="7425" width="11.28515625" customWidth="1"/>
    <col min="7426" max="7426" width="11.85546875" customWidth="1"/>
    <col min="7427" max="7427" width="12.28515625" customWidth="1"/>
    <col min="7428" max="7428" width="7.85546875" customWidth="1"/>
    <col min="7429" max="7429" width="6.7109375" customWidth="1"/>
    <col min="7430" max="7430" width="8.140625" customWidth="1"/>
    <col min="7431" max="7431" width="6.28515625" customWidth="1"/>
    <col min="7432" max="7432" width="7.42578125" customWidth="1"/>
    <col min="7433" max="7433" width="8.28515625" customWidth="1"/>
    <col min="7434" max="7434" width="7.7109375" customWidth="1"/>
    <col min="7435" max="7435" width="6.42578125" customWidth="1"/>
    <col min="7436" max="7436" width="2.85546875" customWidth="1"/>
    <col min="7437" max="7437" width="11.28515625" customWidth="1"/>
    <col min="7438" max="7438" width="7.85546875" customWidth="1"/>
    <col min="7439" max="7439" width="7.28515625" customWidth="1"/>
    <col min="7440" max="7440" width="7.5703125" customWidth="1"/>
    <col min="7441" max="7441" width="5.7109375" customWidth="1"/>
    <col min="7442" max="7442" width="8.42578125" customWidth="1"/>
    <col min="7443" max="7443" width="7.7109375" customWidth="1"/>
    <col min="7444" max="7444" width="7.85546875" customWidth="1"/>
    <col min="7445" max="7445" width="6.28515625" customWidth="1"/>
    <col min="7681" max="7681" width="11.28515625" customWidth="1"/>
    <col min="7682" max="7682" width="11.85546875" customWidth="1"/>
    <col min="7683" max="7683" width="12.28515625" customWidth="1"/>
    <col min="7684" max="7684" width="7.85546875" customWidth="1"/>
    <col min="7685" max="7685" width="6.7109375" customWidth="1"/>
    <col min="7686" max="7686" width="8.140625" customWidth="1"/>
    <col min="7687" max="7687" width="6.28515625" customWidth="1"/>
    <col min="7688" max="7688" width="7.42578125" customWidth="1"/>
    <col min="7689" max="7689" width="8.28515625" customWidth="1"/>
    <col min="7690" max="7690" width="7.7109375" customWidth="1"/>
    <col min="7691" max="7691" width="6.42578125" customWidth="1"/>
    <col min="7692" max="7692" width="2.85546875" customWidth="1"/>
    <col min="7693" max="7693" width="11.28515625" customWidth="1"/>
    <col min="7694" max="7694" width="7.85546875" customWidth="1"/>
    <col min="7695" max="7695" width="7.28515625" customWidth="1"/>
    <col min="7696" max="7696" width="7.5703125" customWidth="1"/>
    <col min="7697" max="7697" width="5.7109375" customWidth="1"/>
    <col min="7698" max="7698" width="8.42578125" customWidth="1"/>
    <col min="7699" max="7699" width="7.7109375" customWidth="1"/>
    <col min="7700" max="7700" width="7.85546875" customWidth="1"/>
    <col min="7701" max="7701" width="6.28515625" customWidth="1"/>
    <col min="7937" max="7937" width="11.28515625" customWidth="1"/>
    <col min="7938" max="7938" width="11.85546875" customWidth="1"/>
    <col min="7939" max="7939" width="12.28515625" customWidth="1"/>
    <col min="7940" max="7940" width="7.85546875" customWidth="1"/>
    <col min="7941" max="7941" width="6.7109375" customWidth="1"/>
    <col min="7942" max="7942" width="8.140625" customWidth="1"/>
    <col min="7943" max="7943" width="6.28515625" customWidth="1"/>
    <col min="7944" max="7944" width="7.42578125" customWidth="1"/>
    <col min="7945" max="7945" width="8.28515625" customWidth="1"/>
    <col min="7946" max="7946" width="7.7109375" customWidth="1"/>
    <col min="7947" max="7947" width="6.42578125" customWidth="1"/>
    <col min="7948" max="7948" width="2.85546875" customWidth="1"/>
    <col min="7949" max="7949" width="11.28515625" customWidth="1"/>
    <col min="7950" max="7950" width="7.85546875" customWidth="1"/>
    <col min="7951" max="7951" width="7.28515625" customWidth="1"/>
    <col min="7952" max="7952" width="7.5703125" customWidth="1"/>
    <col min="7953" max="7953" width="5.7109375" customWidth="1"/>
    <col min="7954" max="7954" width="8.42578125" customWidth="1"/>
    <col min="7955" max="7955" width="7.7109375" customWidth="1"/>
    <col min="7956" max="7956" width="7.85546875" customWidth="1"/>
    <col min="7957" max="7957" width="6.28515625" customWidth="1"/>
    <col min="8193" max="8193" width="11.28515625" customWidth="1"/>
    <col min="8194" max="8194" width="11.85546875" customWidth="1"/>
    <col min="8195" max="8195" width="12.28515625" customWidth="1"/>
    <col min="8196" max="8196" width="7.85546875" customWidth="1"/>
    <col min="8197" max="8197" width="6.7109375" customWidth="1"/>
    <col min="8198" max="8198" width="8.140625" customWidth="1"/>
    <col min="8199" max="8199" width="6.28515625" customWidth="1"/>
    <col min="8200" max="8200" width="7.42578125" customWidth="1"/>
    <col min="8201" max="8201" width="8.28515625" customWidth="1"/>
    <col min="8202" max="8202" width="7.7109375" customWidth="1"/>
    <col min="8203" max="8203" width="6.42578125" customWidth="1"/>
    <col min="8204" max="8204" width="2.85546875" customWidth="1"/>
    <col min="8205" max="8205" width="11.28515625" customWidth="1"/>
    <col min="8206" max="8206" width="7.85546875" customWidth="1"/>
    <col min="8207" max="8207" width="7.28515625" customWidth="1"/>
    <col min="8208" max="8208" width="7.5703125" customWidth="1"/>
    <col min="8209" max="8209" width="5.7109375" customWidth="1"/>
    <col min="8210" max="8210" width="8.42578125" customWidth="1"/>
    <col min="8211" max="8211" width="7.7109375" customWidth="1"/>
    <col min="8212" max="8212" width="7.85546875" customWidth="1"/>
    <col min="8213" max="8213" width="6.28515625" customWidth="1"/>
    <col min="8449" max="8449" width="11.28515625" customWidth="1"/>
    <col min="8450" max="8450" width="11.85546875" customWidth="1"/>
    <col min="8451" max="8451" width="12.28515625" customWidth="1"/>
    <col min="8452" max="8452" width="7.85546875" customWidth="1"/>
    <col min="8453" max="8453" width="6.7109375" customWidth="1"/>
    <col min="8454" max="8454" width="8.140625" customWidth="1"/>
    <col min="8455" max="8455" width="6.28515625" customWidth="1"/>
    <col min="8456" max="8456" width="7.42578125" customWidth="1"/>
    <col min="8457" max="8457" width="8.28515625" customWidth="1"/>
    <col min="8458" max="8458" width="7.7109375" customWidth="1"/>
    <col min="8459" max="8459" width="6.42578125" customWidth="1"/>
    <col min="8460" max="8460" width="2.85546875" customWidth="1"/>
    <col min="8461" max="8461" width="11.28515625" customWidth="1"/>
    <col min="8462" max="8462" width="7.85546875" customWidth="1"/>
    <col min="8463" max="8463" width="7.28515625" customWidth="1"/>
    <col min="8464" max="8464" width="7.5703125" customWidth="1"/>
    <col min="8465" max="8465" width="5.7109375" customWidth="1"/>
    <col min="8466" max="8466" width="8.42578125" customWidth="1"/>
    <col min="8467" max="8467" width="7.7109375" customWidth="1"/>
    <col min="8468" max="8468" width="7.85546875" customWidth="1"/>
    <col min="8469" max="8469" width="6.28515625" customWidth="1"/>
    <col min="8705" max="8705" width="11.28515625" customWidth="1"/>
    <col min="8706" max="8706" width="11.85546875" customWidth="1"/>
    <col min="8707" max="8707" width="12.28515625" customWidth="1"/>
    <col min="8708" max="8708" width="7.85546875" customWidth="1"/>
    <col min="8709" max="8709" width="6.7109375" customWidth="1"/>
    <col min="8710" max="8710" width="8.140625" customWidth="1"/>
    <col min="8711" max="8711" width="6.28515625" customWidth="1"/>
    <col min="8712" max="8712" width="7.42578125" customWidth="1"/>
    <col min="8713" max="8713" width="8.28515625" customWidth="1"/>
    <col min="8714" max="8714" width="7.7109375" customWidth="1"/>
    <col min="8715" max="8715" width="6.42578125" customWidth="1"/>
    <col min="8716" max="8716" width="2.85546875" customWidth="1"/>
    <col min="8717" max="8717" width="11.28515625" customWidth="1"/>
    <col min="8718" max="8718" width="7.85546875" customWidth="1"/>
    <col min="8719" max="8719" width="7.28515625" customWidth="1"/>
    <col min="8720" max="8720" width="7.5703125" customWidth="1"/>
    <col min="8721" max="8721" width="5.7109375" customWidth="1"/>
    <col min="8722" max="8722" width="8.42578125" customWidth="1"/>
    <col min="8723" max="8723" width="7.7109375" customWidth="1"/>
    <col min="8724" max="8724" width="7.85546875" customWidth="1"/>
    <col min="8725" max="8725" width="6.28515625" customWidth="1"/>
    <col min="8961" max="8961" width="11.28515625" customWidth="1"/>
    <col min="8962" max="8962" width="11.85546875" customWidth="1"/>
    <col min="8963" max="8963" width="12.28515625" customWidth="1"/>
    <col min="8964" max="8964" width="7.85546875" customWidth="1"/>
    <col min="8965" max="8965" width="6.7109375" customWidth="1"/>
    <col min="8966" max="8966" width="8.140625" customWidth="1"/>
    <col min="8967" max="8967" width="6.28515625" customWidth="1"/>
    <col min="8968" max="8968" width="7.42578125" customWidth="1"/>
    <col min="8969" max="8969" width="8.28515625" customWidth="1"/>
    <col min="8970" max="8970" width="7.7109375" customWidth="1"/>
    <col min="8971" max="8971" width="6.42578125" customWidth="1"/>
    <col min="8972" max="8972" width="2.85546875" customWidth="1"/>
    <col min="8973" max="8973" width="11.28515625" customWidth="1"/>
    <col min="8974" max="8974" width="7.85546875" customWidth="1"/>
    <col min="8975" max="8975" width="7.28515625" customWidth="1"/>
    <col min="8976" max="8976" width="7.5703125" customWidth="1"/>
    <col min="8977" max="8977" width="5.7109375" customWidth="1"/>
    <col min="8978" max="8978" width="8.42578125" customWidth="1"/>
    <col min="8979" max="8979" width="7.7109375" customWidth="1"/>
    <col min="8980" max="8980" width="7.85546875" customWidth="1"/>
    <col min="8981" max="8981" width="6.28515625" customWidth="1"/>
    <col min="9217" max="9217" width="11.28515625" customWidth="1"/>
    <col min="9218" max="9218" width="11.85546875" customWidth="1"/>
    <col min="9219" max="9219" width="12.28515625" customWidth="1"/>
    <col min="9220" max="9220" width="7.85546875" customWidth="1"/>
    <col min="9221" max="9221" width="6.7109375" customWidth="1"/>
    <col min="9222" max="9222" width="8.140625" customWidth="1"/>
    <col min="9223" max="9223" width="6.28515625" customWidth="1"/>
    <col min="9224" max="9224" width="7.42578125" customWidth="1"/>
    <col min="9225" max="9225" width="8.28515625" customWidth="1"/>
    <col min="9226" max="9226" width="7.7109375" customWidth="1"/>
    <col min="9227" max="9227" width="6.42578125" customWidth="1"/>
    <col min="9228" max="9228" width="2.85546875" customWidth="1"/>
    <col min="9229" max="9229" width="11.28515625" customWidth="1"/>
    <col min="9230" max="9230" width="7.85546875" customWidth="1"/>
    <col min="9231" max="9231" width="7.28515625" customWidth="1"/>
    <col min="9232" max="9232" width="7.5703125" customWidth="1"/>
    <col min="9233" max="9233" width="5.7109375" customWidth="1"/>
    <col min="9234" max="9234" width="8.42578125" customWidth="1"/>
    <col min="9235" max="9235" width="7.7109375" customWidth="1"/>
    <col min="9236" max="9236" width="7.85546875" customWidth="1"/>
    <col min="9237" max="9237" width="6.28515625" customWidth="1"/>
    <col min="9473" max="9473" width="11.28515625" customWidth="1"/>
    <col min="9474" max="9474" width="11.85546875" customWidth="1"/>
    <col min="9475" max="9475" width="12.28515625" customWidth="1"/>
    <col min="9476" max="9476" width="7.85546875" customWidth="1"/>
    <col min="9477" max="9477" width="6.7109375" customWidth="1"/>
    <col min="9478" max="9478" width="8.140625" customWidth="1"/>
    <col min="9479" max="9479" width="6.28515625" customWidth="1"/>
    <col min="9480" max="9480" width="7.42578125" customWidth="1"/>
    <col min="9481" max="9481" width="8.28515625" customWidth="1"/>
    <col min="9482" max="9482" width="7.7109375" customWidth="1"/>
    <col min="9483" max="9483" width="6.42578125" customWidth="1"/>
    <col min="9484" max="9484" width="2.85546875" customWidth="1"/>
    <col min="9485" max="9485" width="11.28515625" customWidth="1"/>
    <col min="9486" max="9486" width="7.85546875" customWidth="1"/>
    <col min="9487" max="9487" width="7.28515625" customWidth="1"/>
    <col min="9488" max="9488" width="7.5703125" customWidth="1"/>
    <col min="9489" max="9489" width="5.7109375" customWidth="1"/>
    <col min="9490" max="9490" width="8.42578125" customWidth="1"/>
    <col min="9491" max="9491" width="7.7109375" customWidth="1"/>
    <col min="9492" max="9492" width="7.85546875" customWidth="1"/>
    <col min="9493" max="9493" width="6.28515625" customWidth="1"/>
    <col min="9729" max="9729" width="11.28515625" customWidth="1"/>
    <col min="9730" max="9730" width="11.85546875" customWidth="1"/>
    <col min="9731" max="9731" width="12.28515625" customWidth="1"/>
    <col min="9732" max="9732" width="7.85546875" customWidth="1"/>
    <col min="9733" max="9733" width="6.7109375" customWidth="1"/>
    <col min="9734" max="9734" width="8.140625" customWidth="1"/>
    <col min="9735" max="9735" width="6.28515625" customWidth="1"/>
    <col min="9736" max="9736" width="7.42578125" customWidth="1"/>
    <col min="9737" max="9737" width="8.28515625" customWidth="1"/>
    <col min="9738" max="9738" width="7.7109375" customWidth="1"/>
    <col min="9739" max="9739" width="6.42578125" customWidth="1"/>
    <col min="9740" max="9740" width="2.85546875" customWidth="1"/>
    <col min="9741" max="9741" width="11.28515625" customWidth="1"/>
    <col min="9742" max="9742" width="7.85546875" customWidth="1"/>
    <col min="9743" max="9743" width="7.28515625" customWidth="1"/>
    <col min="9744" max="9744" width="7.5703125" customWidth="1"/>
    <col min="9745" max="9745" width="5.7109375" customWidth="1"/>
    <col min="9746" max="9746" width="8.42578125" customWidth="1"/>
    <col min="9747" max="9747" width="7.7109375" customWidth="1"/>
    <col min="9748" max="9748" width="7.85546875" customWidth="1"/>
    <col min="9749" max="9749" width="6.28515625" customWidth="1"/>
    <col min="9985" max="9985" width="11.28515625" customWidth="1"/>
    <col min="9986" max="9986" width="11.85546875" customWidth="1"/>
    <col min="9987" max="9987" width="12.28515625" customWidth="1"/>
    <col min="9988" max="9988" width="7.85546875" customWidth="1"/>
    <col min="9989" max="9989" width="6.7109375" customWidth="1"/>
    <col min="9990" max="9990" width="8.140625" customWidth="1"/>
    <col min="9991" max="9991" width="6.28515625" customWidth="1"/>
    <col min="9992" max="9992" width="7.42578125" customWidth="1"/>
    <col min="9993" max="9993" width="8.28515625" customWidth="1"/>
    <col min="9994" max="9994" width="7.7109375" customWidth="1"/>
    <col min="9995" max="9995" width="6.42578125" customWidth="1"/>
    <col min="9996" max="9996" width="2.85546875" customWidth="1"/>
    <col min="9997" max="9997" width="11.28515625" customWidth="1"/>
    <col min="9998" max="9998" width="7.85546875" customWidth="1"/>
    <col min="9999" max="9999" width="7.28515625" customWidth="1"/>
    <col min="10000" max="10000" width="7.5703125" customWidth="1"/>
    <col min="10001" max="10001" width="5.7109375" customWidth="1"/>
    <col min="10002" max="10002" width="8.42578125" customWidth="1"/>
    <col min="10003" max="10003" width="7.7109375" customWidth="1"/>
    <col min="10004" max="10004" width="7.85546875" customWidth="1"/>
    <col min="10005" max="10005" width="6.28515625" customWidth="1"/>
    <col min="10241" max="10241" width="11.28515625" customWidth="1"/>
    <col min="10242" max="10242" width="11.85546875" customWidth="1"/>
    <col min="10243" max="10243" width="12.28515625" customWidth="1"/>
    <col min="10244" max="10244" width="7.85546875" customWidth="1"/>
    <col min="10245" max="10245" width="6.7109375" customWidth="1"/>
    <col min="10246" max="10246" width="8.140625" customWidth="1"/>
    <col min="10247" max="10247" width="6.28515625" customWidth="1"/>
    <col min="10248" max="10248" width="7.42578125" customWidth="1"/>
    <col min="10249" max="10249" width="8.28515625" customWidth="1"/>
    <col min="10250" max="10250" width="7.7109375" customWidth="1"/>
    <col min="10251" max="10251" width="6.42578125" customWidth="1"/>
    <col min="10252" max="10252" width="2.85546875" customWidth="1"/>
    <col min="10253" max="10253" width="11.28515625" customWidth="1"/>
    <col min="10254" max="10254" width="7.85546875" customWidth="1"/>
    <col min="10255" max="10255" width="7.28515625" customWidth="1"/>
    <col min="10256" max="10256" width="7.5703125" customWidth="1"/>
    <col min="10257" max="10257" width="5.7109375" customWidth="1"/>
    <col min="10258" max="10258" width="8.42578125" customWidth="1"/>
    <col min="10259" max="10259" width="7.7109375" customWidth="1"/>
    <col min="10260" max="10260" width="7.85546875" customWidth="1"/>
    <col min="10261" max="10261" width="6.28515625" customWidth="1"/>
    <col min="10497" max="10497" width="11.28515625" customWidth="1"/>
    <col min="10498" max="10498" width="11.85546875" customWidth="1"/>
    <col min="10499" max="10499" width="12.28515625" customWidth="1"/>
    <col min="10500" max="10500" width="7.85546875" customWidth="1"/>
    <col min="10501" max="10501" width="6.7109375" customWidth="1"/>
    <col min="10502" max="10502" width="8.140625" customWidth="1"/>
    <col min="10503" max="10503" width="6.28515625" customWidth="1"/>
    <col min="10504" max="10504" width="7.42578125" customWidth="1"/>
    <col min="10505" max="10505" width="8.28515625" customWidth="1"/>
    <col min="10506" max="10506" width="7.7109375" customWidth="1"/>
    <col min="10507" max="10507" width="6.42578125" customWidth="1"/>
    <col min="10508" max="10508" width="2.85546875" customWidth="1"/>
    <col min="10509" max="10509" width="11.28515625" customWidth="1"/>
    <col min="10510" max="10510" width="7.85546875" customWidth="1"/>
    <col min="10511" max="10511" width="7.28515625" customWidth="1"/>
    <col min="10512" max="10512" width="7.5703125" customWidth="1"/>
    <col min="10513" max="10513" width="5.7109375" customWidth="1"/>
    <col min="10514" max="10514" width="8.42578125" customWidth="1"/>
    <col min="10515" max="10515" width="7.7109375" customWidth="1"/>
    <col min="10516" max="10516" width="7.85546875" customWidth="1"/>
    <col min="10517" max="10517" width="6.28515625" customWidth="1"/>
    <col min="10753" max="10753" width="11.28515625" customWidth="1"/>
    <col min="10754" max="10754" width="11.85546875" customWidth="1"/>
    <col min="10755" max="10755" width="12.28515625" customWidth="1"/>
    <col min="10756" max="10756" width="7.85546875" customWidth="1"/>
    <col min="10757" max="10757" width="6.7109375" customWidth="1"/>
    <col min="10758" max="10758" width="8.140625" customWidth="1"/>
    <col min="10759" max="10759" width="6.28515625" customWidth="1"/>
    <col min="10760" max="10760" width="7.42578125" customWidth="1"/>
    <col min="10761" max="10761" width="8.28515625" customWidth="1"/>
    <col min="10762" max="10762" width="7.7109375" customWidth="1"/>
    <col min="10763" max="10763" width="6.42578125" customWidth="1"/>
    <col min="10764" max="10764" width="2.85546875" customWidth="1"/>
    <col min="10765" max="10765" width="11.28515625" customWidth="1"/>
    <col min="10766" max="10766" width="7.85546875" customWidth="1"/>
    <col min="10767" max="10767" width="7.28515625" customWidth="1"/>
    <col min="10768" max="10768" width="7.5703125" customWidth="1"/>
    <col min="10769" max="10769" width="5.7109375" customWidth="1"/>
    <col min="10770" max="10770" width="8.42578125" customWidth="1"/>
    <col min="10771" max="10771" width="7.7109375" customWidth="1"/>
    <col min="10772" max="10772" width="7.85546875" customWidth="1"/>
    <col min="10773" max="10773" width="6.28515625" customWidth="1"/>
    <col min="11009" max="11009" width="11.28515625" customWidth="1"/>
    <col min="11010" max="11010" width="11.85546875" customWidth="1"/>
    <col min="11011" max="11011" width="12.28515625" customWidth="1"/>
    <col min="11012" max="11012" width="7.85546875" customWidth="1"/>
    <col min="11013" max="11013" width="6.7109375" customWidth="1"/>
    <col min="11014" max="11014" width="8.140625" customWidth="1"/>
    <col min="11015" max="11015" width="6.28515625" customWidth="1"/>
    <col min="11016" max="11016" width="7.42578125" customWidth="1"/>
    <col min="11017" max="11017" width="8.28515625" customWidth="1"/>
    <col min="11018" max="11018" width="7.7109375" customWidth="1"/>
    <col min="11019" max="11019" width="6.42578125" customWidth="1"/>
    <col min="11020" max="11020" width="2.85546875" customWidth="1"/>
    <col min="11021" max="11021" width="11.28515625" customWidth="1"/>
    <col min="11022" max="11022" width="7.85546875" customWidth="1"/>
    <col min="11023" max="11023" width="7.28515625" customWidth="1"/>
    <col min="11024" max="11024" width="7.5703125" customWidth="1"/>
    <col min="11025" max="11025" width="5.7109375" customWidth="1"/>
    <col min="11026" max="11026" width="8.42578125" customWidth="1"/>
    <col min="11027" max="11027" width="7.7109375" customWidth="1"/>
    <col min="11028" max="11028" width="7.85546875" customWidth="1"/>
    <col min="11029" max="11029" width="6.28515625" customWidth="1"/>
    <col min="11265" max="11265" width="11.28515625" customWidth="1"/>
    <col min="11266" max="11266" width="11.85546875" customWidth="1"/>
    <col min="11267" max="11267" width="12.28515625" customWidth="1"/>
    <col min="11268" max="11268" width="7.85546875" customWidth="1"/>
    <col min="11269" max="11269" width="6.7109375" customWidth="1"/>
    <col min="11270" max="11270" width="8.140625" customWidth="1"/>
    <col min="11271" max="11271" width="6.28515625" customWidth="1"/>
    <col min="11272" max="11272" width="7.42578125" customWidth="1"/>
    <col min="11273" max="11273" width="8.28515625" customWidth="1"/>
    <col min="11274" max="11274" width="7.7109375" customWidth="1"/>
    <col min="11275" max="11275" width="6.42578125" customWidth="1"/>
    <col min="11276" max="11276" width="2.85546875" customWidth="1"/>
    <col min="11277" max="11277" width="11.28515625" customWidth="1"/>
    <col min="11278" max="11278" width="7.85546875" customWidth="1"/>
    <col min="11279" max="11279" width="7.28515625" customWidth="1"/>
    <col min="11280" max="11280" width="7.5703125" customWidth="1"/>
    <col min="11281" max="11281" width="5.7109375" customWidth="1"/>
    <col min="11282" max="11282" width="8.42578125" customWidth="1"/>
    <col min="11283" max="11283" width="7.7109375" customWidth="1"/>
    <col min="11284" max="11284" width="7.85546875" customWidth="1"/>
    <col min="11285" max="11285" width="6.28515625" customWidth="1"/>
    <col min="11521" max="11521" width="11.28515625" customWidth="1"/>
    <col min="11522" max="11522" width="11.85546875" customWidth="1"/>
    <col min="11523" max="11523" width="12.28515625" customWidth="1"/>
    <col min="11524" max="11524" width="7.85546875" customWidth="1"/>
    <col min="11525" max="11525" width="6.7109375" customWidth="1"/>
    <col min="11526" max="11526" width="8.140625" customWidth="1"/>
    <col min="11527" max="11527" width="6.28515625" customWidth="1"/>
    <col min="11528" max="11528" width="7.42578125" customWidth="1"/>
    <col min="11529" max="11529" width="8.28515625" customWidth="1"/>
    <col min="11530" max="11530" width="7.7109375" customWidth="1"/>
    <col min="11531" max="11531" width="6.42578125" customWidth="1"/>
    <col min="11532" max="11532" width="2.85546875" customWidth="1"/>
    <col min="11533" max="11533" width="11.28515625" customWidth="1"/>
    <col min="11534" max="11534" width="7.85546875" customWidth="1"/>
    <col min="11535" max="11535" width="7.28515625" customWidth="1"/>
    <col min="11536" max="11536" width="7.5703125" customWidth="1"/>
    <col min="11537" max="11537" width="5.7109375" customWidth="1"/>
    <col min="11538" max="11538" width="8.42578125" customWidth="1"/>
    <col min="11539" max="11539" width="7.7109375" customWidth="1"/>
    <col min="11540" max="11540" width="7.85546875" customWidth="1"/>
    <col min="11541" max="11541" width="6.28515625" customWidth="1"/>
    <col min="11777" max="11777" width="11.28515625" customWidth="1"/>
    <col min="11778" max="11778" width="11.85546875" customWidth="1"/>
    <col min="11779" max="11779" width="12.28515625" customWidth="1"/>
    <col min="11780" max="11780" width="7.85546875" customWidth="1"/>
    <col min="11781" max="11781" width="6.7109375" customWidth="1"/>
    <col min="11782" max="11782" width="8.140625" customWidth="1"/>
    <col min="11783" max="11783" width="6.28515625" customWidth="1"/>
    <col min="11784" max="11784" width="7.42578125" customWidth="1"/>
    <col min="11785" max="11785" width="8.28515625" customWidth="1"/>
    <col min="11786" max="11786" width="7.7109375" customWidth="1"/>
    <col min="11787" max="11787" width="6.42578125" customWidth="1"/>
    <col min="11788" max="11788" width="2.85546875" customWidth="1"/>
    <col min="11789" max="11789" width="11.28515625" customWidth="1"/>
    <col min="11790" max="11790" width="7.85546875" customWidth="1"/>
    <col min="11791" max="11791" width="7.28515625" customWidth="1"/>
    <col min="11792" max="11792" width="7.5703125" customWidth="1"/>
    <col min="11793" max="11793" width="5.7109375" customWidth="1"/>
    <col min="11794" max="11794" width="8.42578125" customWidth="1"/>
    <col min="11795" max="11795" width="7.7109375" customWidth="1"/>
    <col min="11796" max="11796" width="7.85546875" customWidth="1"/>
    <col min="11797" max="11797" width="6.28515625" customWidth="1"/>
    <col min="12033" max="12033" width="11.28515625" customWidth="1"/>
    <col min="12034" max="12034" width="11.85546875" customWidth="1"/>
    <col min="12035" max="12035" width="12.28515625" customWidth="1"/>
    <col min="12036" max="12036" width="7.85546875" customWidth="1"/>
    <col min="12037" max="12037" width="6.7109375" customWidth="1"/>
    <col min="12038" max="12038" width="8.140625" customWidth="1"/>
    <col min="12039" max="12039" width="6.28515625" customWidth="1"/>
    <col min="12040" max="12040" width="7.42578125" customWidth="1"/>
    <col min="12041" max="12041" width="8.28515625" customWidth="1"/>
    <col min="12042" max="12042" width="7.7109375" customWidth="1"/>
    <col min="12043" max="12043" width="6.42578125" customWidth="1"/>
    <col min="12044" max="12044" width="2.85546875" customWidth="1"/>
    <col min="12045" max="12045" width="11.28515625" customWidth="1"/>
    <col min="12046" max="12046" width="7.85546875" customWidth="1"/>
    <col min="12047" max="12047" width="7.28515625" customWidth="1"/>
    <col min="12048" max="12048" width="7.5703125" customWidth="1"/>
    <col min="12049" max="12049" width="5.7109375" customWidth="1"/>
    <col min="12050" max="12050" width="8.42578125" customWidth="1"/>
    <col min="12051" max="12051" width="7.7109375" customWidth="1"/>
    <col min="12052" max="12052" width="7.85546875" customWidth="1"/>
    <col min="12053" max="12053" width="6.28515625" customWidth="1"/>
    <col min="12289" max="12289" width="11.28515625" customWidth="1"/>
    <col min="12290" max="12290" width="11.85546875" customWidth="1"/>
    <col min="12291" max="12291" width="12.28515625" customWidth="1"/>
    <col min="12292" max="12292" width="7.85546875" customWidth="1"/>
    <col min="12293" max="12293" width="6.7109375" customWidth="1"/>
    <col min="12294" max="12294" width="8.140625" customWidth="1"/>
    <col min="12295" max="12295" width="6.28515625" customWidth="1"/>
    <col min="12296" max="12296" width="7.42578125" customWidth="1"/>
    <col min="12297" max="12297" width="8.28515625" customWidth="1"/>
    <col min="12298" max="12298" width="7.7109375" customWidth="1"/>
    <col min="12299" max="12299" width="6.42578125" customWidth="1"/>
    <col min="12300" max="12300" width="2.85546875" customWidth="1"/>
    <col min="12301" max="12301" width="11.28515625" customWidth="1"/>
    <col min="12302" max="12302" width="7.85546875" customWidth="1"/>
    <col min="12303" max="12303" width="7.28515625" customWidth="1"/>
    <col min="12304" max="12304" width="7.5703125" customWidth="1"/>
    <col min="12305" max="12305" width="5.7109375" customWidth="1"/>
    <col min="12306" max="12306" width="8.42578125" customWidth="1"/>
    <col min="12307" max="12307" width="7.7109375" customWidth="1"/>
    <col min="12308" max="12308" width="7.85546875" customWidth="1"/>
    <col min="12309" max="12309" width="6.28515625" customWidth="1"/>
    <col min="12545" max="12545" width="11.28515625" customWidth="1"/>
    <col min="12546" max="12546" width="11.85546875" customWidth="1"/>
    <col min="12547" max="12547" width="12.28515625" customWidth="1"/>
    <col min="12548" max="12548" width="7.85546875" customWidth="1"/>
    <col min="12549" max="12549" width="6.7109375" customWidth="1"/>
    <col min="12550" max="12550" width="8.140625" customWidth="1"/>
    <col min="12551" max="12551" width="6.28515625" customWidth="1"/>
    <col min="12552" max="12552" width="7.42578125" customWidth="1"/>
    <col min="12553" max="12553" width="8.28515625" customWidth="1"/>
    <col min="12554" max="12554" width="7.7109375" customWidth="1"/>
    <col min="12555" max="12555" width="6.42578125" customWidth="1"/>
    <col min="12556" max="12556" width="2.85546875" customWidth="1"/>
    <col min="12557" max="12557" width="11.28515625" customWidth="1"/>
    <col min="12558" max="12558" width="7.85546875" customWidth="1"/>
    <col min="12559" max="12559" width="7.28515625" customWidth="1"/>
    <col min="12560" max="12560" width="7.5703125" customWidth="1"/>
    <col min="12561" max="12561" width="5.7109375" customWidth="1"/>
    <col min="12562" max="12562" width="8.42578125" customWidth="1"/>
    <col min="12563" max="12563" width="7.7109375" customWidth="1"/>
    <col min="12564" max="12564" width="7.85546875" customWidth="1"/>
    <col min="12565" max="12565" width="6.28515625" customWidth="1"/>
    <col min="12801" max="12801" width="11.28515625" customWidth="1"/>
    <col min="12802" max="12802" width="11.85546875" customWidth="1"/>
    <col min="12803" max="12803" width="12.28515625" customWidth="1"/>
    <col min="12804" max="12804" width="7.85546875" customWidth="1"/>
    <col min="12805" max="12805" width="6.7109375" customWidth="1"/>
    <col min="12806" max="12806" width="8.140625" customWidth="1"/>
    <col min="12807" max="12807" width="6.28515625" customWidth="1"/>
    <col min="12808" max="12808" width="7.42578125" customWidth="1"/>
    <col min="12809" max="12809" width="8.28515625" customWidth="1"/>
    <col min="12810" max="12810" width="7.7109375" customWidth="1"/>
    <col min="12811" max="12811" width="6.42578125" customWidth="1"/>
    <col min="12812" max="12812" width="2.85546875" customWidth="1"/>
    <col min="12813" max="12813" width="11.28515625" customWidth="1"/>
    <col min="12814" max="12814" width="7.85546875" customWidth="1"/>
    <col min="12815" max="12815" width="7.28515625" customWidth="1"/>
    <col min="12816" max="12816" width="7.5703125" customWidth="1"/>
    <col min="12817" max="12817" width="5.7109375" customWidth="1"/>
    <col min="12818" max="12818" width="8.42578125" customWidth="1"/>
    <col min="12819" max="12819" width="7.7109375" customWidth="1"/>
    <col min="12820" max="12820" width="7.85546875" customWidth="1"/>
    <col min="12821" max="12821" width="6.28515625" customWidth="1"/>
    <col min="13057" max="13057" width="11.28515625" customWidth="1"/>
    <col min="13058" max="13058" width="11.85546875" customWidth="1"/>
    <col min="13059" max="13059" width="12.28515625" customWidth="1"/>
    <col min="13060" max="13060" width="7.85546875" customWidth="1"/>
    <col min="13061" max="13061" width="6.7109375" customWidth="1"/>
    <col min="13062" max="13062" width="8.140625" customWidth="1"/>
    <col min="13063" max="13063" width="6.28515625" customWidth="1"/>
    <col min="13064" max="13064" width="7.42578125" customWidth="1"/>
    <col min="13065" max="13065" width="8.28515625" customWidth="1"/>
    <col min="13066" max="13066" width="7.7109375" customWidth="1"/>
    <col min="13067" max="13067" width="6.42578125" customWidth="1"/>
    <col min="13068" max="13068" width="2.85546875" customWidth="1"/>
    <col min="13069" max="13069" width="11.28515625" customWidth="1"/>
    <col min="13070" max="13070" width="7.85546875" customWidth="1"/>
    <col min="13071" max="13071" width="7.28515625" customWidth="1"/>
    <col min="13072" max="13072" width="7.5703125" customWidth="1"/>
    <col min="13073" max="13073" width="5.7109375" customWidth="1"/>
    <col min="13074" max="13074" width="8.42578125" customWidth="1"/>
    <col min="13075" max="13075" width="7.7109375" customWidth="1"/>
    <col min="13076" max="13076" width="7.85546875" customWidth="1"/>
    <col min="13077" max="13077" width="6.28515625" customWidth="1"/>
    <col min="13313" max="13313" width="11.28515625" customWidth="1"/>
    <col min="13314" max="13314" width="11.85546875" customWidth="1"/>
    <col min="13315" max="13315" width="12.28515625" customWidth="1"/>
    <col min="13316" max="13316" width="7.85546875" customWidth="1"/>
    <col min="13317" max="13317" width="6.7109375" customWidth="1"/>
    <col min="13318" max="13318" width="8.140625" customWidth="1"/>
    <col min="13319" max="13319" width="6.28515625" customWidth="1"/>
    <col min="13320" max="13320" width="7.42578125" customWidth="1"/>
    <col min="13321" max="13321" width="8.28515625" customWidth="1"/>
    <col min="13322" max="13322" width="7.7109375" customWidth="1"/>
    <col min="13323" max="13323" width="6.42578125" customWidth="1"/>
    <col min="13324" max="13324" width="2.85546875" customWidth="1"/>
    <col min="13325" max="13325" width="11.28515625" customWidth="1"/>
    <col min="13326" max="13326" width="7.85546875" customWidth="1"/>
    <col min="13327" max="13327" width="7.28515625" customWidth="1"/>
    <col min="13328" max="13328" width="7.5703125" customWidth="1"/>
    <col min="13329" max="13329" width="5.7109375" customWidth="1"/>
    <col min="13330" max="13330" width="8.42578125" customWidth="1"/>
    <col min="13331" max="13331" width="7.7109375" customWidth="1"/>
    <col min="13332" max="13332" width="7.85546875" customWidth="1"/>
    <col min="13333" max="13333" width="6.28515625" customWidth="1"/>
    <col min="13569" max="13569" width="11.28515625" customWidth="1"/>
    <col min="13570" max="13570" width="11.85546875" customWidth="1"/>
    <col min="13571" max="13571" width="12.28515625" customWidth="1"/>
    <col min="13572" max="13572" width="7.85546875" customWidth="1"/>
    <col min="13573" max="13573" width="6.7109375" customWidth="1"/>
    <col min="13574" max="13574" width="8.140625" customWidth="1"/>
    <col min="13575" max="13575" width="6.28515625" customWidth="1"/>
    <col min="13576" max="13576" width="7.42578125" customWidth="1"/>
    <col min="13577" max="13577" width="8.28515625" customWidth="1"/>
    <col min="13578" max="13578" width="7.7109375" customWidth="1"/>
    <col min="13579" max="13579" width="6.42578125" customWidth="1"/>
    <col min="13580" max="13580" width="2.85546875" customWidth="1"/>
    <col min="13581" max="13581" width="11.28515625" customWidth="1"/>
    <col min="13582" max="13582" width="7.85546875" customWidth="1"/>
    <col min="13583" max="13583" width="7.28515625" customWidth="1"/>
    <col min="13584" max="13584" width="7.5703125" customWidth="1"/>
    <col min="13585" max="13585" width="5.7109375" customWidth="1"/>
    <col min="13586" max="13586" width="8.42578125" customWidth="1"/>
    <col min="13587" max="13587" width="7.7109375" customWidth="1"/>
    <col min="13588" max="13588" width="7.85546875" customWidth="1"/>
    <col min="13589" max="13589" width="6.28515625" customWidth="1"/>
    <col min="13825" max="13825" width="11.28515625" customWidth="1"/>
    <col min="13826" max="13826" width="11.85546875" customWidth="1"/>
    <col min="13827" max="13827" width="12.28515625" customWidth="1"/>
    <col min="13828" max="13828" width="7.85546875" customWidth="1"/>
    <col min="13829" max="13829" width="6.7109375" customWidth="1"/>
    <col min="13830" max="13830" width="8.140625" customWidth="1"/>
    <col min="13831" max="13831" width="6.28515625" customWidth="1"/>
    <col min="13832" max="13832" width="7.42578125" customWidth="1"/>
    <col min="13833" max="13833" width="8.28515625" customWidth="1"/>
    <col min="13834" max="13834" width="7.7109375" customWidth="1"/>
    <col min="13835" max="13835" width="6.42578125" customWidth="1"/>
    <col min="13836" max="13836" width="2.85546875" customWidth="1"/>
    <col min="13837" max="13837" width="11.28515625" customWidth="1"/>
    <col min="13838" max="13838" width="7.85546875" customWidth="1"/>
    <col min="13839" max="13839" width="7.28515625" customWidth="1"/>
    <col min="13840" max="13840" width="7.5703125" customWidth="1"/>
    <col min="13841" max="13841" width="5.7109375" customWidth="1"/>
    <col min="13842" max="13842" width="8.42578125" customWidth="1"/>
    <col min="13843" max="13843" width="7.7109375" customWidth="1"/>
    <col min="13844" max="13844" width="7.85546875" customWidth="1"/>
    <col min="13845" max="13845" width="6.28515625" customWidth="1"/>
    <col min="14081" max="14081" width="11.28515625" customWidth="1"/>
    <col min="14082" max="14082" width="11.85546875" customWidth="1"/>
    <col min="14083" max="14083" width="12.28515625" customWidth="1"/>
    <col min="14084" max="14084" width="7.85546875" customWidth="1"/>
    <col min="14085" max="14085" width="6.7109375" customWidth="1"/>
    <col min="14086" max="14086" width="8.140625" customWidth="1"/>
    <col min="14087" max="14087" width="6.28515625" customWidth="1"/>
    <col min="14088" max="14088" width="7.42578125" customWidth="1"/>
    <col min="14089" max="14089" width="8.28515625" customWidth="1"/>
    <col min="14090" max="14090" width="7.7109375" customWidth="1"/>
    <col min="14091" max="14091" width="6.42578125" customWidth="1"/>
    <col min="14092" max="14092" width="2.85546875" customWidth="1"/>
    <col min="14093" max="14093" width="11.28515625" customWidth="1"/>
    <col min="14094" max="14094" width="7.85546875" customWidth="1"/>
    <col min="14095" max="14095" width="7.28515625" customWidth="1"/>
    <col min="14096" max="14096" width="7.5703125" customWidth="1"/>
    <col min="14097" max="14097" width="5.7109375" customWidth="1"/>
    <col min="14098" max="14098" width="8.42578125" customWidth="1"/>
    <col min="14099" max="14099" width="7.7109375" customWidth="1"/>
    <col min="14100" max="14100" width="7.85546875" customWidth="1"/>
    <col min="14101" max="14101" width="6.28515625" customWidth="1"/>
    <col min="14337" max="14337" width="11.28515625" customWidth="1"/>
    <col min="14338" max="14338" width="11.85546875" customWidth="1"/>
    <col min="14339" max="14339" width="12.28515625" customWidth="1"/>
    <col min="14340" max="14340" width="7.85546875" customWidth="1"/>
    <col min="14341" max="14341" width="6.7109375" customWidth="1"/>
    <col min="14342" max="14342" width="8.140625" customWidth="1"/>
    <col min="14343" max="14343" width="6.28515625" customWidth="1"/>
    <col min="14344" max="14344" width="7.42578125" customWidth="1"/>
    <col min="14345" max="14345" width="8.28515625" customWidth="1"/>
    <col min="14346" max="14346" width="7.7109375" customWidth="1"/>
    <col min="14347" max="14347" width="6.42578125" customWidth="1"/>
    <col min="14348" max="14348" width="2.85546875" customWidth="1"/>
    <col min="14349" max="14349" width="11.28515625" customWidth="1"/>
    <col min="14350" max="14350" width="7.85546875" customWidth="1"/>
    <col min="14351" max="14351" width="7.28515625" customWidth="1"/>
    <col min="14352" max="14352" width="7.5703125" customWidth="1"/>
    <col min="14353" max="14353" width="5.7109375" customWidth="1"/>
    <col min="14354" max="14354" width="8.42578125" customWidth="1"/>
    <col min="14355" max="14355" width="7.7109375" customWidth="1"/>
    <col min="14356" max="14356" width="7.85546875" customWidth="1"/>
    <col min="14357" max="14357" width="6.28515625" customWidth="1"/>
    <col min="14593" max="14593" width="11.28515625" customWidth="1"/>
    <col min="14594" max="14594" width="11.85546875" customWidth="1"/>
    <col min="14595" max="14595" width="12.28515625" customWidth="1"/>
    <col min="14596" max="14596" width="7.85546875" customWidth="1"/>
    <col min="14597" max="14597" width="6.7109375" customWidth="1"/>
    <col min="14598" max="14598" width="8.140625" customWidth="1"/>
    <col min="14599" max="14599" width="6.28515625" customWidth="1"/>
    <col min="14600" max="14600" width="7.42578125" customWidth="1"/>
    <col min="14601" max="14601" width="8.28515625" customWidth="1"/>
    <col min="14602" max="14602" width="7.7109375" customWidth="1"/>
    <col min="14603" max="14603" width="6.42578125" customWidth="1"/>
    <col min="14604" max="14604" width="2.85546875" customWidth="1"/>
    <col min="14605" max="14605" width="11.28515625" customWidth="1"/>
    <col min="14606" max="14606" width="7.85546875" customWidth="1"/>
    <col min="14607" max="14607" width="7.28515625" customWidth="1"/>
    <col min="14608" max="14608" width="7.5703125" customWidth="1"/>
    <col min="14609" max="14609" width="5.7109375" customWidth="1"/>
    <col min="14610" max="14610" width="8.42578125" customWidth="1"/>
    <col min="14611" max="14611" width="7.7109375" customWidth="1"/>
    <col min="14612" max="14612" width="7.85546875" customWidth="1"/>
    <col min="14613" max="14613" width="6.28515625" customWidth="1"/>
    <col min="14849" max="14849" width="11.28515625" customWidth="1"/>
    <col min="14850" max="14850" width="11.85546875" customWidth="1"/>
    <col min="14851" max="14851" width="12.28515625" customWidth="1"/>
    <col min="14852" max="14852" width="7.85546875" customWidth="1"/>
    <col min="14853" max="14853" width="6.7109375" customWidth="1"/>
    <col min="14854" max="14854" width="8.140625" customWidth="1"/>
    <col min="14855" max="14855" width="6.28515625" customWidth="1"/>
    <col min="14856" max="14856" width="7.42578125" customWidth="1"/>
    <col min="14857" max="14857" width="8.28515625" customWidth="1"/>
    <col min="14858" max="14858" width="7.7109375" customWidth="1"/>
    <col min="14859" max="14859" width="6.42578125" customWidth="1"/>
    <col min="14860" max="14860" width="2.85546875" customWidth="1"/>
    <col min="14861" max="14861" width="11.28515625" customWidth="1"/>
    <col min="14862" max="14862" width="7.85546875" customWidth="1"/>
    <col min="14863" max="14863" width="7.28515625" customWidth="1"/>
    <col min="14864" max="14864" width="7.5703125" customWidth="1"/>
    <col min="14865" max="14865" width="5.7109375" customWidth="1"/>
    <col min="14866" max="14866" width="8.42578125" customWidth="1"/>
    <col min="14867" max="14867" width="7.7109375" customWidth="1"/>
    <col min="14868" max="14868" width="7.85546875" customWidth="1"/>
    <col min="14869" max="14869" width="6.28515625" customWidth="1"/>
    <col min="15105" max="15105" width="11.28515625" customWidth="1"/>
    <col min="15106" max="15106" width="11.85546875" customWidth="1"/>
    <col min="15107" max="15107" width="12.28515625" customWidth="1"/>
    <col min="15108" max="15108" width="7.85546875" customWidth="1"/>
    <col min="15109" max="15109" width="6.7109375" customWidth="1"/>
    <col min="15110" max="15110" width="8.140625" customWidth="1"/>
    <col min="15111" max="15111" width="6.28515625" customWidth="1"/>
    <col min="15112" max="15112" width="7.42578125" customWidth="1"/>
    <col min="15113" max="15113" width="8.28515625" customWidth="1"/>
    <col min="15114" max="15114" width="7.7109375" customWidth="1"/>
    <col min="15115" max="15115" width="6.42578125" customWidth="1"/>
    <col min="15116" max="15116" width="2.85546875" customWidth="1"/>
    <col min="15117" max="15117" width="11.28515625" customWidth="1"/>
    <col min="15118" max="15118" width="7.85546875" customWidth="1"/>
    <col min="15119" max="15119" width="7.28515625" customWidth="1"/>
    <col min="15120" max="15120" width="7.5703125" customWidth="1"/>
    <col min="15121" max="15121" width="5.7109375" customWidth="1"/>
    <col min="15122" max="15122" width="8.42578125" customWidth="1"/>
    <col min="15123" max="15123" width="7.7109375" customWidth="1"/>
    <col min="15124" max="15124" width="7.85546875" customWidth="1"/>
    <col min="15125" max="15125" width="6.28515625" customWidth="1"/>
    <col min="15361" max="15361" width="11.28515625" customWidth="1"/>
    <col min="15362" max="15362" width="11.85546875" customWidth="1"/>
    <col min="15363" max="15363" width="12.28515625" customWidth="1"/>
    <col min="15364" max="15364" width="7.85546875" customWidth="1"/>
    <col min="15365" max="15365" width="6.7109375" customWidth="1"/>
    <col min="15366" max="15366" width="8.140625" customWidth="1"/>
    <col min="15367" max="15367" width="6.28515625" customWidth="1"/>
    <col min="15368" max="15368" width="7.42578125" customWidth="1"/>
    <col min="15369" max="15369" width="8.28515625" customWidth="1"/>
    <col min="15370" max="15370" width="7.7109375" customWidth="1"/>
    <col min="15371" max="15371" width="6.42578125" customWidth="1"/>
    <col min="15372" max="15372" width="2.85546875" customWidth="1"/>
    <col min="15373" max="15373" width="11.28515625" customWidth="1"/>
    <col min="15374" max="15374" width="7.85546875" customWidth="1"/>
    <col min="15375" max="15375" width="7.28515625" customWidth="1"/>
    <col min="15376" max="15376" width="7.5703125" customWidth="1"/>
    <col min="15377" max="15377" width="5.7109375" customWidth="1"/>
    <col min="15378" max="15378" width="8.42578125" customWidth="1"/>
    <col min="15379" max="15379" width="7.7109375" customWidth="1"/>
    <col min="15380" max="15380" width="7.85546875" customWidth="1"/>
    <col min="15381" max="15381" width="6.28515625" customWidth="1"/>
    <col min="15617" max="15617" width="11.28515625" customWidth="1"/>
    <col min="15618" max="15618" width="11.85546875" customWidth="1"/>
    <col min="15619" max="15619" width="12.28515625" customWidth="1"/>
    <col min="15620" max="15620" width="7.85546875" customWidth="1"/>
    <col min="15621" max="15621" width="6.7109375" customWidth="1"/>
    <col min="15622" max="15622" width="8.140625" customWidth="1"/>
    <col min="15623" max="15623" width="6.28515625" customWidth="1"/>
    <col min="15624" max="15624" width="7.42578125" customWidth="1"/>
    <col min="15625" max="15625" width="8.28515625" customWidth="1"/>
    <col min="15626" max="15626" width="7.7109375" customWidth="1"/>
    <col min="15627" max="15627" width="6.42578125" customWidth="1"/>
    <col min="15628" max="15628" width="2.85546875" customWidth="1"/>
    <col min="15629" max="15629" width="11.28515625" customWidth="1"/>
    <col min="15630" max="15630" width="7.85546875" customWidth="1"/>
    <col min="15631" max="15631" width="7.28515625" customWidth="1"/>
    <col min="15632" max="15632" width="7.5703125" customWidth="1"/>
    <col min="15633" max="15633" width="5.7109375" customWidth="1"/>
    <col min="15634" max="15634" width="8.42578125" customWidth="1"/>
    <col min="15635" max="15635" width="7.7109375" customWidth="1"/>
    <col min="15636" max="15636" width="7.85546875" customWidth="1"/>
    <col min="15637" max="15637" width="6.28515625" customWidth="1"/>
    <col min="15873" max="15873" width="11.28515625" customWidth="1"/>
    <col min="15874" max="15874" width="11.85546875" customWidth="1"/>
    <col min="15875" max="15875" width="12.28515625" customWidth="1"/>
    <col min="15876" max="15876" width="7.85546875" customWidth="1"/>
    <col min="15877" max="15877" width="6.7109375" customWidth="1"/>
    <col min="15878" max="15878" width="8.140625" customWidth="1"/>
    <col min="15879" max="15879" width="6.28515625" customWidth="1"/>
    <col min="15880" max="15880" width="7.42578125" customWidth="1"/>
    <col min="15881" max="15881" width="8.28515625" customWidth="1"/>
    <col min="15882" max="15882" width="7.7109375" customWidth="1"/>
    <col min="15883" max="15883" width="6.42578125" customWidth="1"/>
    <col min="15884" max="15884" width="2.85546875" customWidth="1"/>
    <col min="15885" max="15885" width="11.28515625" customWidth="1"/>
    <col min="15886" max="15886" width="7.85546875" customWidth="1"/>
    <col min="15887" max="15887" width="7.28515625" customWidth="1"/>
    <col min="15888" max="15888" width="7.5703125" customWidth="1"/>
    <col min="15889" max="15889" width="5.7109375" customWidth="1"/>
    <col min="15890" max="15890" width="8.42578125" customWidth="1"/>
    <col min="15891" max="15891" width="7.7109375" customWidth="1"/>
    <col min="15892" max="15892" width="7.85546875" customWidth="1"/>
    <col min="15893" max="15893" width="6.28515625" customWidth="1"/>
    <col min="16129" max="16129" width="11.28515625" customWidth="1"/>
    <col min="16130" max="16130" width="11.85546875" customWidth="1"/>
    <col min="16131" max="16131" width="12.28515625" customWidth="1"/>
    <col min="16132" max="16132" width="7.85546875" customWidth="1"/>
    <col min="16133" max="16133" width="6.7109375" customWidth="1"/>
    <col min="16134" max="16134" width="8.140625" customWidth="1"/>
    <col min="16135" max="16135" width="6.28515625" customWidth="1"/>
    <col min="16136" max="16136" width="7.42578125" customWidth="1"/>
    <col min="16137" max="16137" width="8.28515625" customWidth="1"/>
    <col min="16138" max="16138" width="7.7109375" customWidth="1"/>
    <col min="16139" max="16139" width="6.42578125" customWidth="1"/>
    <col min="16140" max="16140" width="2.85546875" customWidth="1"/>
    <col min="16141" max="16141" width="11.28515625" customWidth="1"/>
    <col min="16142" max="16142" width="7.85546875" customWidth="1"/>
    <col min="16143" max="16143" width="7.28515625" customWidth="1"/>
    <col min="16144" max="16144" width="7.5703125" customWidth="1"/>
    <col min="16145" max="16145" width="5.7109375" customWidth="1"/>
    <col min="16146" max="16146" width="8.42578125" customWidth="1"/>
    <col min="16147" max="16147" width="7.7109375" customWidth="1"/>
    <col min="16148" max="16148" width="7.85546875" customWidth="1"/>
    <col min="16149" max="16149" width="6.28515625" customWidth="1"/>
  </cols>
  <sheetData>
    <row r="1" spans="1:24" x14ac:dyDescent="0.25">
      <c r="C1" s="32"/>
      <c r="D1" s="32"/>
      <c r="N1" s="33"/>
      <c r="O1" s="34"/>
    </row>
    <row r="2" spans="1:24" ht="15.75" thickBot="1" x14ac:dyDescent="0.3">
      <c r="A2" t="s">
        <v>118</v>
      </c>
      <c r="B2" s="35"/>
      <c r="C2" s="32" t="s">
        <v>119</v>
      </c>
      <c r="D2" s="32"/>
      <c r="O2" s="34"/>
    </row>
    <row r="3" spans="1:24" ht="16.5" thickBot="1" x14ac:dyDescent="0.35">
      <c r="B3" s="35"/>
      <c r="C3" s="32"/>
      <c r="D3" s="36" t="s">
        <v>120</v>
      </c>
      <c r="E3" s="32">
        <v>2.7E-2</v>
      </c>
      <c r="F3" s="33" t="s">
        <v>109</v>
      </c>
      <c r="O3" s="257">
        <v>0.1</v>
      </c>
      <c r="P3" s="255"/>
      <c r="Q3" s="255"/>
      <c r="R3" s="255"/>
      <c r="S3" s="255"/>
      <c r="T3" s="255"/>
      <c r="U3" s="255"/>
      <c r="V3" s="255"/>
      <c r="W3" s="255"/>
      <c r="X3" s="256"/>
    </row>
    <row r="4" spans="1:24" ht="15.75" thickBot="1" x14ac:dyDescent="0.3">
      <c r="A4">
        <v>2.5</v>
      </c>
      <c r="C4" s="273"/>
      <c r="D4" s="37"/>
      <c r="E4" s="38"/>
      <c r="F4" s="37"/>
      <c r="G4" s="39"/>
      <c r="H4" s="40"/>
      <c r="I4" s="38"/>
      <c r="J4" s="37"/>
      <c r="K4" s="39"/>
      <c r="L4" s="2"/>
      <c r="O4" s="254" t="s">
        <v>132</v>
      </c>
      <c r="P4" s="255"/>
      <c r="Q4" s="255"/>
      <c r="R4" s="255"/>
      <c r="S4" s="255"/>
      <c r="T4" s="255"/>
      <c r="U4" s="255"/>
      <c r="V4" s="255"/>
      <c r="W4" s="255"/>
      <c r="X4" s="256"/>
    </row>
    <row r="5" spans="1:24" ht="15.75" thickBot="1" x14ac:dyDescent="0.3">
      <c r="A5">
        <v>0.22</v>
      </c>
      <c r="C5" s="274"/>
      <c r="D5" s="275">
        <v>230</v>
      </c>
      <c r="E5" s="275"/>
      <c r="F5" s="41" t="s">
        <v>121</v>
      </c>
      <c r="G5" s="42"/>
      <c r="H5" s="276">
        <v>400</v>
      </c>
      <c r="I5" s="275"/>
      <c r="J5" s="41" t="s">
        <v>121</v>
      </c>
      <c r="K5" s="42"/>
      <c r="L5" s="43"/>
      <c r="O5" s="6"/>
      <c r="P5" s="2"/>
      <c r="Q5" s="74" t="str">
        <f>IF(OR(P6/VLOOKUP($O6,$O$8:$P$12,2,0)-1&lt;-0.1,P6/VLOOKUP($O6,$O$8:$P$12,2,0)-1&gt;0),"",VLOOKUP($O6,$O$8:$P$12,2,0))</f>
        <v/>
      </c>
      <c r="R5" s="2"/>
      <c r="S5" s="2"/>
      <c r="T5" s="2"/>
      <c r="U5" s="2"/>
      <c r="V5" s="2"/>
      <c r="W5" s="74" t="str">
        <f>IF(OR(V6/VLOOKUP($U6,$U$8:$V$12,2,0)-1&lt;-0.1,V6/VLOOKUP($U6,$U$8:$V$12,2,0)-1&gt;0),"",VLOOKUP($U6,$U$8:$V$12,2,0))</f>
        <v/>
      </c>
      <c r="X5" s="7"/>
    </row>
    <row r="6" spans="1:24" ht="15.75" thickBot="1" x14ac:dyDescent="0.3">
      <c r="A6">
        <v>2.7E-2</v>
      </c>
      <c r="C6" s="44" t="s">
        <v>122</v>
      </c>
      <c r="D6" s="45" t="s">
        <v>123</v>
      </c>
      <c r="E6" s="46" t="s">
        <v>124</v>
      </c>
      <c r="F6" s="46" t="s">
        <v>125</v>
      </c>
      <c r="G6" s="46" t="s">
        <v>126</v>
      </c>
      <c r="H6" s="45" t="s">
        <v>123</v>
      </c>
      <c r="I6" s="46" t="s">
        <v>124</v>
      </c>
      <c r="J6" s="46" t="s">
        <v>125</v>
      </c>
      <c r="K6" s="46" t="s">
        <v>126</v>
      </c>
      <c r="L6" s="43"/>
      <c r="O6" s="80">
        <f>MIN(O8:O12)</f>
        <v>5.7470085470085461E-2</v>
      </c>
      <c r="P6" s="76">
        <f>'DEVImulti calculation'!$D$18</f>
        <v>0.16547008547008546</v>
      </c>
      <c r="Q6" s="72">
        <f>VLOOKUP($O6,$O$8:$P$12,2,0)</f>
        <v>0.108</v>
      </c>
      <c r="R6" s="77">
        <f>+P6/Q6-1</f>
        <v>0.53213042101930985</v>
      </c>
      <c r="S6" s="2"/>
      <c r="T6" s="2"/>
      <c r="U6" s="75">
        <f>MIN(U8:U12)</f>
        <v>8.4470085470085457E-2</v>
      </c>
      <c r="V6" s="75">
        <f>'DEVImulti calculation'!$D$18</f>
        <v>0.16547008547008546</v>
      </c>
      <c r="W6" s="72">
        <f>VLOOKUP($U6,$U$8:$V$12,2,0)</f>
        <v>8.1000000000000003E-2</v>
      </c>
      <c r="X6" s="81">
        <f>+P6/W6-1</f>
        <v>1.0428405613590797</v>
      </c>
    </row>
    <row r="7" spans="1:24" x14ac:dyDescent="0.25">
      <c r="B7" s="47"/>
      <c r="C7" s="261">
        <f>E$3*4</f>
        <v>0.108</v>
      </c>
      <c r="D7" s="48">
        <v>30</v>
      </c>
      <c r="E7" s="49">
        <f>$D$5/SQRT(D7*$C7)</f>
        <v>127.77777777777777</v>
      </c>
      <c r="F7" s="49">
        <f t="shared" ref="F7:F46" si="0">E7*D7</f>
        <v>3833.333333333333</v>
      </c>
      <c r="G7" s="50">
        <f t="shared" ref="G7:G46" si="1">F7/$D$5</f>
        <v>16.666666666666664</v>
      </c>
      <c r="H7" s="48">
        <v>30</v>
      </c>
      <c r="I7" s="49">
        <f>$H$5/SQRT(H7*$C7)</f>
        <v>222.22222222222223</v>
      </c>
      <c r="J7" s="49">
        <f t="shared" ref="J7:J50" si="2">I7*H7</f>
        <v>6666.666666666667</v>
      </c>
      <c r="K7" s="49">
        <f>J7/$H$5</f>
        <v>16.666666666666668</v>
      </c>
      <c r="L7" s="51"/>
      <c r="O7" s="6"/>
      <c r="P7" s="78" t="s">
        <v>127</v>
      </c>
      <c r="Q7" s="2"/>
      <c r="R7" s="2"/>
      <c r="S7" s="2"/>
      <c r="T7" s="2"/>
      <c r="U7" s="2"/>
      <c r="V7" s="78" t="s">
        <v>128</v>
      </c>
      <c r="W7" s="2"/>
      <c r="X7" s="7"/>
    </row>
    <row r="8" spans="1:24" x14ac:dyDescent="0.25">
      <c r="B8" s="47">
        <v>1</v>
      </c>
      <c r="C8" s="262"/>
      <c r="D8" s="52">
        <v>20</v>
      </c>
      <c r="E8" s="51">
        <f>$D$5/SQRT(D8*$C7)</f>
        <v>156.49517801114749</v>
      </c>
      <c r="F8" s="51">
        <f t="shared" si="0"/>
        <v>3129.9035602229496</v>
      </c>
      <c r="G8" s="53">
        <f t="shared" si="1"/>
        <v>13.608276348795433</v>
      </c>
      <c r="H8" s="52">
        <v>20</v>
      </c>
      <c r="I8" s="51">
        <f>$H$5/SQRT(H8*$C7)</f>
        <v>272.16552697590868</v>
      </c>
      <c r="J8" s="51">
        <f t="shared" si="2"/>
        <v>5443.3105395181738</v>
      </c>
      <c r="K8" s="51">
        <f t="shared" ref="K8:K50" si="3">J8/$H$5</f>
        <v>13.608276348795435</v>
      </c>
      <c r="L8" s="51"/>
      <c r="O8" s="80">
        <f>+ABS($P$6-P8)</f>
        <v>0.13847008547008546</v>
      </c>
      <c r="P8" s="78">
        <v>2.7E-2</v>
      </c>
      <c r="Q8" s="79">
        <f>+$P$6/P8-1</f>
        <v>5.1285216840772394</v>
      </c>
      <c r="R8" s="2"/>
      <c r="S8" s="2"/>
      <c r="T8" s="2"/>
      <c r="U8" s="75">
        <f>+ABS($V$6-V8)</f>
        <v>8.4470085470085457E-2</v>
      </c>
      <c r="V8" s="78">
        <v>8.1000000000000003E-2</v>
      </c>
      <c r="W8" s="79">
        <f>+$P$6/V8-1</f>
        <v>1.0428405613590797</v>
      </c>
      <c r="X8" s="7"/>
    </row>
    <row r="9" spans="1:24" x14ac:dyDescent="0.25">
      <c r="C9" s="262"/>
      <c r="D9" s="54">
        <v>15</v>
      </c>
      <c r="E9" s="55">
        <f>$D$5/SQRT(D9*$C7)</f>
        <v>180.70506630322882</v>
      </c>
      <c r="F9" s="55">
        <f t="shared" si="0"/>
        <v>2710.5759945484324</v>
      </c>
      <c r="G9" s="56">
        <f t="shared" si="1"/>
        <v>11.785113019775793</v>
      </c>
      <c r="H9" s="54">
        <v>15</v>
      </c>
      <c r="I9" s="55">
        <f>$H$5/SQRT(H9*$C7)</f>
        <v>314.26968052735447</v>
      </c>
      <c r="J9" s="55">
        <f t="shared" si="2"/>
        <v>4714.045207910317</v>
      </c>
      <c r="K9" s="55">
        <f t="shared" si="3"/>
        <v>11.785113019775793</v>
      </c>
      <c r="L9" s="51"/>
      <c r="O9" s="80">
        <f t="shared" ref="O9:O12" si="4">+ABS($P$6-P9)</f>
        <v>0.12947008547008546</v>
      </c>
      <c r="P9" s="78">
        <v>3.5999999999999997E-2</v>
      </c>
      <c r="Q9" s="79">
        <f t="shared" ref="Q9:Q12" si="5">+$P$6/P9-1</f>
        <v>3.5963912630579298</v>
      </c>
      <c r="R9" s="2"/>
      <c r="S9" s="2"/>
      <c r="T9" s="2"/>
      <c r="U9" s="75">
        <f t="shared" ref="U9:U12" si="6">+ABS($V$6-V9)</f>
        <v>9.7970085470085455E-2</v>
      </c>
      <c r="V9" s="78">
        <v>6.7500000000000004E-2</v>
      </c>
      <c r="W9" s="79">
        <f t="shared" ref="W9:W12" si="7">+$P$6/V9-1</f>
        <v>1.4514086736308953</v>
      </c>
      <c r="X9" s="7"/>
    </row>
    <row r="10" spans="1:24" ht="15.75" thickBot="1" x14ac:dyDescent="0.3">
      <c r="C10" s="263"/>
      <c r="D10" s="57">
        <v>10</v>
      </c>
      <c r="E10" s="58">
        <f>$D$5/SQRT(D10*$C7)</f>
        <v>221.3176031893565</v>
      </c>
      <c r="F10" s="58">
        <f t="shared" si="0"/>
        <v>2213.1760318935649</v>
      </c>
      <c r="G10" s="59">
        <f t="shared" si="1"/>
        <v>9.6225044864937601</v>
      </c>
      <c r="H10" s="57">
        <v>10</v>
      </c>
      <c r="I10" s="58">
        <f>$H$5/SQRT(H10*$C7)</f>
        <v>384.90017945975046</v>
      </c>
      <c r="J10" s="58">
        <f t="shared" si="2"/>
        <v>3849.0017945975046</v>
      </c>
      <c r="K10" s="58">
        <f t="shared" si="3"/>
        <v>9.6225044864937619</v>
      </c>
      <c r="L10" s="51"/>
      <c r="O10" s="80">
        <f t="shared" si="4"/>
        <v>0.12497008547008545</v>
      </c>
      <c r="P10" s="78">
        <v>4.0500000000000001E-2</v>
      </c>
      <c r="Q10" s="79">
        <f t="shared" si="5"/>
        <v>3.0856811227181593</v>
      </c>
      <c r="R10" s="2"/>
      <c r="S10" s="2"/>
      <c r="T10" s="2"/>
      <c r="U10" s="75">
        <f t="shared" si="6"/>
        <v>0.15197008547008545</v>
      </c>
      <c r="V10" s="78">
        <v>1.35E-2</v>
      </c>
      <c r="W10" s="79">
        <f t="shared" si="7"/>
        <v>11.257043368154479</v>
      </c>
      <c r="X10" s="7"/>
    </row>
    <row r="11" spans="1:24" x14ac:dyDescent="0.25">
      <c r="C11" s="264">
        <f>E$3*3</f>
        <v>8.1000000000000003E-2</v>
      </c>
      <c r="D11" s="48">
        <v>30</v>
      </c>
      <c r="E11" s="49">
        <f>$D$5/SQRT(D11*$C11)</f>
        <v>147.54506879290437</v>
      </c>
      <c r="F11" s="49">
        <f t="shared" si="0"/>
        <v>4426.3520637871316</v>
      </c>
      <c r="G11" s="50">
        <f t="shared" si="1"/>
        <v>19.245008972987527</v>
      </c>
      <c r="H11" s="48">
        <v>30</v>
      </c>
      <c r="I11" s="49">
        <f>$H$5/SQRT(H11*$C11)</f>
        <v>256.60011963983368</v>
      </c>
      <c r="J11" s="49">
        <f t="shared" si="2"/>
        <v>7698.0035891950101</v>
      </c>
      <c r="K11" s="49">
        <f t="shared" si="3"/>
        <v>19.245008972987524</v>
      </c>
      <c r="L11" s="51"/>
      <c r="O11" s="80">
        <f t="shared" si="4"/>
        <v>0.11147008547008547</v>
      </c>
      <c r="P11" s="78">
        <v>5.3999999999999999E-2</v>
      </c>
      <c r="Q11" s="79">
        <f t="shared" si="5"/>
        <v>2.0642608420386197</v>
      </c>
      <c r="R11" s="2"/>
      <c r="S11" s="2"/>
      <c r="T11" s="2"/>
      <c r="U11" s="75">
        <f t="shared" si="6"/>
        <v>0.15647008547008545</v>
      </c>
      <c r="V11" s="78">
        <v>8.9999999999999993E-3</v>
      </c>
      <c r="W11" s="79">
        <f t="shared" si="7"/>
        <v>17.385565052231719</v>
      </c>
      <c r="X11" s="7"/>
    </row>
    <row r="12" spans="1:24" ht="15.75" thickBot="1" x14ac:dyDescent="0.3">
      <c r="B12">
        <v>2</v>
      </c>
      <c r="C12" s="265"/>
      <c r="D12" s="52">
        <v>20</v>
      </c>
      <c r="E12" s="51">
        <f>$D$5/SQRT(D12*$C11)</f>
        <v>180.70506630322882</v>
      </c>
      <c r="F12" s="51">
        <f t="shared" si="0"/>
        <v>3614.1013260645764</v>
      </c>
      <c r="G12" s="53">
        <f t="shared" si="1"/>
        <v>15.713484026367723</v>
      </c>
      <c r="H12" s="52">
        <v>20</v>
      </c>
      <c r="I12" s="51">
        <f>$H$5/SQRT(H12*$C11)</f>
        <v>314.26968052735447</v>
      </c>
      <c r="J12" s="51">
        <f t="shared" si="2"/>
        <v>6285.3936105470893</v>
      </c>
      <c r="K12" s="51">
        <f t="shared" si="3"/>
        <v>15.713484026367723</v>
      </c>
      <c r="L12" s="51"/>
      <c r="O12" s="82">
        <f t="shared" si="4"/>
        <v>5.7470085470085461E-2</v>
      </c>
      <c r="P12" s="83">
        <v>0.108</v>
      </c>
      <c r="Q12" s="84">
        <f t="shared" si="5"/>
        <v>0.53213042101930985</v>
      </c>
      <c r="R12" s="71"/>
      <c r="S12" s="71"/>
      <c r="T12" s="71"/>
      <c r="U12" s="85">
        <f t="shared" si="6"/>
        <v>0.15872008547008545</v>
      </c>
      <c r="V12" s="83">
        <v>6.7499999999999999E-3</v>
      </c>
      <c r="W12" s="84">
        <f t="shared" si="7"/>
        <v>23.514086736308958</v>
      </c>
      <c r="X12" s="8"/>
    </row>
    <row r="13" spans="1:24" x14ac:dyDescent="0.25">
      <c r="C13" s="265"/>
      <c r="D13" s="54">
        <v>15</v>
      </c>
      <c r="E13" s="60">
        <f>$D$5/SQRT(D13*$C11)</f>
        <v>208.66023734819666</v>
      </c>
      <c r="F13" s="60">
        <f t="shared" si="0"/>
        <v>3129.9035602229501</v>
      </c>
      <c r="G13" s="61">
        <f t="shared" si="1"/>
        <v>13.608276348795435</v>
      </c>
      <c r="H13" s="54">
        <v>15</v>
      </c>
      <c r="I13" s="60">
        <f>$H$5/SQRT(H13*$C11)</f>
        <v>362.88736930121155</v>
      </c>
      <c r="J13" s="60">
        <f t="shared" si="2"/>
        <v>5443.3105395181728</v>
      </c>
      <c r="K13" s="55">
        <f t="shared" si="3"/>
        <v>13.608276348795432</v>
      </c>
      <c r="L13" s="51"/>
      <c r="O13" s="6"/>
      <c r="P13" s="88"/>
      <c r="Q13" s="2"/>
      <c r="R13" s="2"/>
      <c r="S13" s="2"/>
      <c r="T13" s="2"/>
      <c r="U13" s="2"/>
      <c r="V13" s="2"/>
      <c r="W13" s="2"/>
      <c r="X13" s="7"/>
    </row>
    <row r="14" spans="1:24" ht="15.75" thickBot="1" x14ac:dyDescent="0.3">
      <c r="C14" s="266"/>
      <c r="D14" s="57">
        <v>10</v>
      </c>
      <c r="E14" s="62">
        <f>$D$5/SQRT(D14*$C11)</f>
        <v>255.55555555555554</v>
      </c>
      <c r="F14" s="62">
        <f t="shared" si="0"/>
        <v>2555.5555555555557</v>
      </c>
      <c r="G14" s="63">
        <f t="shared" si="1"/>
        <v>11.111111111111111</v>
      </c>
      <c r="H14" s="57">
        <v>10</v>
      </c>
      <c r="I14" s="62">
        <f>$H$5/SQRT(H14*$C11)</f>
        <v>444.44444444444446</v>
      </c>
      <c r="J14" s="62">
        <f t="shared" si="2"/>
        <v>4444.4444444444443</v>
      </c>
      <c r="K14" s="58">
        <f t="shared" si="3"/>
        <v>11.111111111111111</v>
      </c>
      <c r="L14" s="51"/>
      <c r="O14" s="6"/>
      <c r="P14" s="2"/>
      <c r="Q14" s="2"/>
      <c r="R14" s="2"/>
      <c r="S14" s="2"/>
      <c r="T14" s="2"/>
      <c r="U14" s="2"/>
      <c r="V14" s="2"/>
      <c r="W14" s="2"/>
      <c r="X14" s="7"/>
    </row>
    <row r="15" spans="1:24" ht="15.75" thickBot="1" x14ac:dyDescent="0.3">
      <c r="C15" s="267">
        <f>(E$3/2) + E$3*2</f>
        <v>6.7500000000000004E-2</v>
      </c>
      <c r="D15" s="48">
        <v>30</v>
      </c>
      <c r="E15" s="49">
        <f>$D$5/SQRT(D15*$C15)</f>
        <v>161.62752485305049</v>
      </c>
      <c r="F15" s="49">
        <f t="shared" si="0"/>
        <v>4848.8257455915145</v>
      </c>
      <c r="G15" s="50">
        <f t="shared" si="1"/>
        <v>21.081851067789195</v>
      </c>
      <c r="H15" s="48">
        <v>30</v>
      </c>
      <c r="I15" s="49">
        <f>$H$5/SQRT(H15*$C15)</f>
        <v>281.0913475705226</v>
      </c>
      <c r="J15" s="49">
        <f t="shared" si="2"/>
        <v>8432.7404271156774</v>
      </c>
      <c r="K15" s="49">
        <f t="shared" si="3"/>
        <v>21.081851067789195</v>
      </c>
      <c r="L15" s="51"/>
      <c r="O15" s="254" t="s">
        <v>133</v>
      </c>
      <c r="P15" s="255"/>
      <c r="Q15" s="255"/>
      <c r="R15" s="255"/>
      <c r="S15" s="255"/>
      <c r="T15" s="255"/>
      <c r="U15" s="255"/>
      <c r="V15" s="255"/>
      <c r="W15" s="255"/>
      <c r="X15" s="256"/>
    </row>
    <row r="16" spans="1:24" x14ac:dyDescent="0.25">
      <c r="B16">
        <v>3</v>
      </c>
      <c r="C16" s="268"/>
      <c r="D16" s="64">
        <v>20</v>
      </c>
      <c r="E16" s="65">
        <f>$D$5/SQRT(D16*$C15)</f>
        <v>197.9524821394902</v>
      </c>
      <c r="F16" s="65">
        <f t="shared" si="0"/>
        <v>3959.0496427898042</v>
      </c>
      <c r="G16" s="53">
        <f t="shared" si="1"/>
        <v>17.213259316477409</v>
      </c>
      <c r="H16" s="64">
        <v>20</v>
      </c>
      <c r="I16" s="65">
        <f>$H$5/SQRT(H16*$C15)</f>
        <v>344.26518632954816</v>
      </c>
      <c r="J16" s="65">
        <f t="shared" si="2"/>
        <v>6885.3037265909634</v>
      </c>
      <c r="K16" s="51">
        <f t="shared" si="3"/>
        <v>17.213259316477409</v>
      </c>
      <c r="L16" s="51"/>
      <c r="O16" s="3"/>
      <c r="P16" s="4"/>
      <c r="Q16" s="87" t="str">
        <f>IF(OR(P17/VLOOKUP($O17,O19:P23,2,0)-1&lt;-0.1,P17/VLOOKUP($O17,O19:P23,2,0)-1&gt;0),"",VLOOKUP($O17,O19:P23,2,0))</f>
        <v/>
      </c>
      <c r="R16" s="4"/>
      <c r="S16" s="4"/>
      <c r="T16" s="4"/>
      <c r="U16" s="4"/>
      <c r="V16" s="4"/>
      <c r="W16" s="87" t="str">
        <f>IF(OR(V17/VLOOKUP($U17,U19:V23,2,0)-1&lt;-0.1,V17/VLOOKUP($U17,U19:V23,2,0)-1&gt;0),"",VLOOKUP($U17,U19:V23,2,0))</f>
        <v/>
      </c>
      <c r="X16" s="5"/>
    </row>
    <row r="17" spans="2:24" x14ac:dyDescent="0.25">
      <c r="C17" s="268"/>
      <c r="D17" s="66">
        <v>15</v>
      </c>
      <c r="E17" s="67">
        <f>$D$5/SQRT(D17*$C15)</f>
        <v>228.57583769997845</v>
      </c>
      <c r="F17" s="67">
        <f t="shared" si="0"/>
        <v>3428.6375654996768</v>
      </c>
      <c r="G17" s="61">
        <f t="shared" si="1"/>
        <v>14.907119849998596</v>
      </c>
      <c r="H17" s="66">
        <v>15</v>
      </c>
      <c r="I17" s="67">
        <f>$H$5/SQRT(H17*$C15)</f>
        <v>397.52319599996252</v>
      </c>
      <c r="J17" s="67">
        <f t="shared" si="2"/>
        <v>5962.8479399994376</v>
      </c>
      <c r="K17" s="55">
        <f t="shared" si="3"/>
        <v>14.907119849998594</v>
      </c>
      <c r="L17" s="51"/>
      <c r="O17" s="80">
        <f>MIN(O19:O23)</f>
        <v>2.5264957264957269E-2</v>
      </c>
      <c r="P17" s="76">
        <f>'DEVImulti calculation'!$D$19</f>
        <v>8.273504273504273E-2</v>
      </c>
      <c r="Q17" s="72">
        <f>VLOOKUP($O17,O19:P23,2,0)</f>
        <v>0.108</v>
      </c>
      <c r="R17" s="77">
        <f>+P17/Q17-1</f>
        <v>-0.23393478949034507</v>
      </c>
      <c r="S17" s="2"/>
      <c r="T17" s="2"/>
      <c r="U17" s="75">
        <f>MIN(U19:U23)</f>
        <v>1.7350427350427272E-3</v>
      </c>
      <c r="V17" s="75">
        <f>'DEVImulti calculation'!$D$19</f>
        <v>8.273504273504273E-2</v>
      </c>
      <c r="W17" s="72">
        <f>VLOOKUP($U17,U19:V23,2,0)</f>
        <v>8.1000000000000003E-2</v>
      </c>
      <c r="X17" s="81">
        <f>+P17/W17-1</f>
        <v>2.1420280679539827E-2</v>
      </c>
    </row>
    <row r="18" spans="2:24" ht="15.75" thickBot="1" x14ac:dyDescent="0.3">
      <c r="C18" s="269"/>
      <c r="D18" s="68">
        <v>10</v>
      </c>
      <c r="E18" s="69">
        <f>$D$5/SQRT(D18*$C15)</f>
        <v>279.94708494708487</v>
      </c>
      <c r="F18" s="69">
        <f t="shared" si="0"/>
        <v>2799.4708494708489</v>
      </c>
      <c r="G18" s="63">
        <f t="shared" si="1"/>
        <v>12.171612389003691</v>
      </c>
      <c r="H18" s="68">
        <v>10</v>
      </c>
      <c r="I18" s="69">
        <f>$H$5/SQRT(H18*$C15)</f>
        <v>486.86449556014765</v>
      </c>
      <c r="J18" s="69">
        <f t="shared" si="2"/>
        <v>4868.6449556014768</v>
      </c>
      <c r="K18" s="58">
        <f t="shared" si="3"/>
        <v>12.171612389003691</v>
      </c>
      <c r="L18" s="51"/>
      <c r="O18" s="6"/>
      <c r="P18" s="78" t="s">
        <v>127</v>
      </c>
      <c r="Q18" s="2"/>
      <c r="R18" s="2"/>
      <c r="S18" s="2"/>
      <c r="T18" s="2"/>
      <c r="U18" s="2"/>
      <c r="V18" s="78" t="s">
        <v>128</v>
      </c>
      <c r="W18" s="2"/>
      <c r="X18" s="7"/>
    </row>
    <row r="19" spans="2:24" x14ac:dyDescent="0.25">
      <c r="C19" s="264">
        <f>$E$3*2</f>
        <v>5.3999999999999999E-2</v>
      </c>
      <c r="D19" s="48">
        <v>30</v>
      </c>
      <c r="E19" s="49">
        <f>$D$5/SQRT(D19*$C19)</f>
        <v>180.70506630322882</v>
      </c>
      <c r="F19" s="49">
        <f t="shared" si="0"/>
        <v>5421.1519890968648</v>
      </c>
      <c r="G19" s="50">
        <f t="shared" si="1"/>
        <v>23.570226039551585</v>
      </c>
      <c r="H19" s="48">
        <v>30</v>
      </c>
      <c r="I19" s="49">
        <f>$H$5/SQRT(H19*$C19)</f>
        <v>314.26968052735447</v>
      </c>
      <c r="J19" s="49">
        <f t="shared" si="2"/>
        <v>9428.090415820634</v>
      </c>
      <c r="K19" s="49">
        <f t="shared" si="3"/>
        <v>23.570226039551585</v>
      </c>
      <c r="L19" s="51"/>
      <c r="O19" s="80">
        <f>+ABS($P$17-P19)</f>
        <v>5.5735042735042734E-2</v>
      </c>
      <c r="P19" s="78">
        <v>2.7E-2</v>
      </c>
      <c r="Q19" s="79">
        <f>+$P$17/P19-1</f>
        <v>2.0642608420386197</v>
      </c>
      <c r="R19" s="2"/>
      <c r="S19" s="2"/>
      <c r="T19" s="2"/>
      <c r="U19" s="75">
        <f>+ABS($V$17-V19)</f>
        <v>1.7350427350427272E-3</v>
      </c>
      <c r="V19" s="78">
        <v>8.1000000000000003E-2</v>
      </c>
      <c r="W19" s="79">
        <f>+$P$17/V19-1</f>
        <v>2.1420280679539827E-2</v>
      </c>
      <c r="X19" s="7"/>
    </row>
    <row r="20" spans="2:24" x14ac:dyDescent="0.25">
      <c r="B20">
        <v>4</v>
      </c>
      <c r="C20" s="265"/>
      <c r="D20" s="52">
        <v>20</v>
      </c>
      <c r="E20" s="51">
        <f>$D$5/SQRT(D20*$C19)</f>
        <v>221.3176031893565</v>
      </c>
      <c r="F20" s="51">
        <f t="shared" si="0"/>
        <v>4426.3520637871297</v>
      </c>
      <c r="G20" s="53">
        <f t="shared" si="1"/>
        <v>19.24500897298752</v>
      </c>
      <c r="H20" s="52">
        <v>20</v>
      </c>
      <c r="I20" s="51">
        <f>$H$5/SQRT(H20*$C19)</f>
        <v>384.90017945975046</v>
      </c>
      <c r="J20" s="51">
        <f t="shared" si="2"/>
        <v>7698.0035891950092</v>
      </c>
      <c r="K20" s="51">
        <f t="shared" si="3"/>
        <v>19.245008972987524</v>
      </c>
      <c r="L20" s="51"/>
      <c r="O20" s="80">
        <f t="shared" ref="O20:O23" si="8">+ABS($P$17-P20)</f>
        <v>4.6735042735042732E-2</v>
      </c>
      <c r="P20" s="78">
        <v>3.5999999999999997E-2</v>
      </c>
      <c r="Q20" s="79">
        <f t="shared" ref="Q20:Q23" si="9">+$P$17/P20-1</f>
        <v>1.2981956315289649</v>
      </c>
      <c r="R20" s="2"/>
      <c r="S20" s="2"/>
      <c r="T20" s="2"/>
      <c r="U20" s="75">
        <f t="shared" ref="U20:U23" si="10">+ABS($V$17-V20)</f>
        <v>1.5235042735042725E-2</v>
      </c>
      <c r="V20" s="78">
        <v>6.7500000000000004E-2</v>
      </c>
      <c r="W20" s="79">
        <f t="shared" ref="W20:W23" si="11">+$P$17/V20-1</f>
        <v>0.22570433681544766</v>
      </c>
      <c r="X20" s="7"/>
    </row>
    <row r="21" spans="2:24" x14ac:dyDescent="0.25">
      <c r="C21" s="265"/>
      <c r="D21" s="54">
        <v>15</v>
      </c>
      <c r="E21" s="60">
        <f>$D$5/SQRT(D21*$C19)</f>
        <v>255.55555555555554</v>
      </c>
      <c r="F21" s="60">
        <f t="shared" si="0"/>
        <v>3833.333333333333</v>
      </c>
      <c r="G21" s="61">
        <f t="shared" si="1"/>
        <v>16.666666666666664</v>
      </c>
      <c r="H21" s="54">
        <v>15</v>
      </c>
      <c r="I21" s="60">
        <f>$H$5/SQRT(H21*$C19)</f>
        <v>444.44444444444446</v>
      </c>
      <c r="J21" s="60">
        <f t="shared" si="2"/>
        <v>6666.666666666667</v>
      </c>
      <c r="K21" s="55">
        <f t="shared" si="3"/>
        <v>16.666666666666668</v>
      </c>
      <c r="L21" s="51"/>
      <c r="O21" s="80">
        <f t="shared" si="8"/>
        <v>4.2235042735042728E-2</v>
      </c>
      <c r="P21" s="78">
        <v>4.0500000000000001E-2</v>
      </c>
      <c r="Q21" s="79">
        <f t="shared" si="9"/>
        <v>1.0428405613590797</v>
      </c>
      <c r="R21" s="2"/>
      <c r="S21" s="2"/>
      <c r="T21" s="2"/>
      <c r="U21" s="75">
        <f t="shared" si="10"/>
        <v>6.9235042735042732E-2</v>
      </c>
      <c r="V21" s="78">
        <v>1.35E-2</v>
      </c>
      <c r="W21" s="79">
        <f t="shared" si="11"/>
        <v>5.1285216840772394</v>
      </c>
      <c r="X21" s="7"/>
    </row>
    <row r="22" spans="2:24" ht="15.75" thickBot="1" x14ac:dyDescent="0.3">
      <c r="C22" s="266"/>
      <c r="D22" s="57">
        <v>10</v>
      </c>
      <c r="E22" s="62">
        <f>$D$5/SQRT(D22*$C19)</f>
        <v>312.99035602229497</v>
      </c>
      <c r="F22" s="62">
        <f t="shared" si="0"/>
        <v>3129.9035602229496</v>
      </c>
      <c r="G22" s="63">
        <f t="shared" si="1"/>
        <v>13.608276348795433</v>
      </c>
      <c r="H22" s="57">
        <v>10</v>
      </c>
      <c r="I22" s="62">
        <f>$H$5/SQRT(H22*$C19)</f>
        <v>544.33105395181735</v>
      </c>
      <c r="J22" s="62">
        <f t="shared" si="2"/>
        <v>5443.3105395181738</v>
      </c>
      <c r="K22" s="58">
        <f t="shared" si="3"/>
        <v>13.608276348795435</v>
      </c>
      <c r="L22" s="51"/>
      <c r="O22" s="80">
        <f t="shared" si="8"/>
        <v>2.873504273504273E-2</v>
      </c>
      <c r="P22" s="78">
        <v>5.3999999999999999E-2</v>
      </c>
      <c r="Q22" s="79">
        <f t="shared" si="9"/>
        <v>0.53213042101930985</v>
      </c>
      <c r="R22" s="2"/>
      <c r="S22" s="2"/>
      <c r="T22" s="2"/>
      <c r="U22" s="75">
        <f t="shared" si="10"/>
        <v>7.3735042735042736E-2</v>
      </c>
      <c r="V22" s="78">
        <v>8.9999999999999993E-3</v>
      </c>
      <c r="W22" s="79">
        <f t="shared" si="11"/>
        <v>8.1927825261158596</v>
      </c>
      <c r="X22" s="7"/>
    </row>
    <row r="23" spans="2:24" ht="15.75" thickBot="1" x14ac:dyDescent="0.3">
      <c r="C23" s="267">
        <f>(E$3/2) +E$3*1</f>
        <v>4.0500000000000001E-2</v>
      </c>
      <c r="D23" s="48">
        <v>30</v>
      </c>
      <c r="E23" s="49">
        <f>$D$5/SQRT(D23*$C23)</f>
        <v>208.66023734819666</v>
      </c>
      <c r="F23" s="49">
        <f t="shared" si="0"/>
        <v>6259.8071204459002</v>
      </c>
      <c r="G23" s="50">
        <f t="shared" si="1"/>
        <v>27.21655269759087</v>
      </c>
      <c r="H23" s="48">
        <v>30</v>
      </c>
      <c r="I23" s="49">
        <f>$H$5/SQRT(H23*$C23)</f>
        <v>362.88736930121155</v>
      </c>
      <c r="J23" s="49">
        <f t="shared" si="2"/>
        <v>10886.621079036346</v>
      </c>
      <c r="K23" s="49">
        <f t="shared" si="3"/>
        <v>27.216552697590863</v>
      </c>
      <c r="L23" s="51"/>
      <c r="O23" s="82">
        <f t="shared" si="8"/>
        <v>2.5264957264957269E-2</v>
      </c>
      <c r="P23" s="83">
        <v>0.108</v>
      </c>
      <c r="Q23" s="84">
        <f t="shared" si="9"/>
        <v>-0.23393478949034507</v>
      </c>
      <c r="R23" s="71"/>
      <c r="S23" s="71"/>
      <c r="T23" s="71"/>
      <c r="U23" s="85">
        <f t="shared" si="10"/>
        <v>7.5985042735042724E-2</v>
      </c>
      <c r="V23" s="83">
        <v>6.7499999999999999E-3</v>
      </c>
      <c r="W23" s="84">
        <f t="shared" si="11"/>
        <v>11.257043368154479</v>
      </c>
      <c r="X23" s="8"/>
    </row>
    <row r="24" spans="2:24" x14ac:dyDescent="0.25">
      <c r="B24">
        <v>5</v>
      </c>
      <c r="C24" s="268"/>
      <c r="D24" s="52">
        <v>20</v>
      </c>
      <c r="E24" s="51">
        <f>$D$5/SQRT(D24*$C23)</f>
        <v>255.55555555555554</v>
      </c>
      <c r="F24" s="51">
        <f t="shared" si="0"/>
        <v>5111.1111111111113</v>
      </c>
      <c r="G24" s="53">
        <f t="shared" si="1"/>
        <v>22.222222222222221</v>
      </c>
      <c r="H24" s="52">
        <v>20</v>
      </c>
      <c r="I24" s="51">
        <f>$H$5/SQRT(H24*$C23)</f>
        <v>444.44444444444446</v>
      </c>
      <c r="J24" s="51">
        <f t="shared" si="2"/>
        <v>8888.8888888888887</v>
      </c>
      <c r="K24" s="51">
        <f t="shared" si="3"/>
        <v>22.222222222222221</v>
      </c>
      <c r="L24" s="51"/>
    </row>
    <row r="25" spans="2:24" ht="15.75" thickBot="1" x14ac:dyDescent="0.3">
      <c r="C25" s="268"/>
      <c r="D25" s="54">
        <v>15</v>
      </c>
      <c r="E25" s="60">
        <f>$D$5/SQRT(D25*$C23)</f>
        <v>295.09013758580875</v>
      </c>
      <c r="F25" s="60">
        <f t="shared" si="0"/>
        <v>4426.3520637871316</v>
      </c>
      <c r="G25" s="61">
        <f t="shared" si="1"/>
        <v>19.245008972987527</v>
      </c>
      <c r="H25" s="54">
        <v>15</v>
      </c>
      <c r="I25" s="60">
        <f>$H$5/SQRT(H25*$C23)</f>
        <v>513.20023927966736</v>
      </c>
      <c r="J25" s="60">
        <f t="shared" si="2"/>
        <v>7698.0035891950101</v>
      </c>
      <c r="K25" s="55">
        <f t="shared" si="3"/>
        <v>19.245008972987524</v>
      </c>
      <c r="L25" s="51"/>
    </row>
    <row r="26" spans="2:24" ht="15.75" thickBot="1" x14ac:dyDescent="0.3">
      <c r="C26" s="269"/>
      <c r="D26" s="57">
        <v>10</v>
      </c>
      <c r="E26" s="62">
        <f>$D$5/SQRT(D26*$C23)</f>
        <v>361.41013260645764</v>
      </c>
      <c r="F26" s="62">
        <f t="shared" si="0"/>
        <v>3614.1013260645764</v>
      </c>
      <c r="G26" s="63">
        <f t="shared" si="1"/>
        <v>15.713484026367723</v>
      </c>
      <c r="H26" s="57">
        <v>10</v>
      </c>
      <c r="I26" s="62">
        <f>$H$5/SQRT(H26*$C23)</f>
        <v>628.53936105470893</v>
      </c>
      <c r="J26" s="62">
        <f t="shared" si="2"/>
        <v>6285.3936105470893</v>
      </c>
      <c r="K26" s="58">
        <f t="shared" si="3"/>
        <v>15.713484026367723</v>
      </c>
      <c r="L26" s="51"/>
      <c r="O26" s="257">
        <v>-0.33</v>
      </c>
      <c r="P26" s="255"/>
      <c r="Q26" s="255"/>
      <c r="R26" s="255"/>
      <c r="S26" s="255"/>
      <c r="T26" s="255"/>
      <c r="U26" s="255"/>
      <c r="V26" s="255"/>
      <c r="W26" s="255"/>
      <c r="X26" s="256"/>
    </row>
    <row r="27" spans="2:24" ht="15.75" thickBot="1" x14ac:dyDescent="0.3">
      <c r="C27" s="264">
        <f>(E$3/3) +E$3*1</f>
        <v>3.5999999999999997E-2</v>
      </c>
      <c r="D27" s="48">
        <v>30</v>
      </c>
      <c r="E27" s="49">
        <f>$D$5/SQRT(D27*$C27)</f>
        <v>221.31760318935656</v>
      </c>
      <c r="F27" s="49">
        <f t="shared" si="0"/>
        <v>6639.5280956806964</v>
      </c>
      <c r="G27" s="50">
        <f t="shared" si="1"/>
        <v>28.867513459481287</v>
      </c>
      <c r="H27" s="48">
        <v>30</v>
      </c>
      <c r="I27" s="49">
        <f>$H$5/SQRT(H27*$C27)</f>
        <v>384.90017945975058</v>
      </c>
      <c r="J27" s="49">
        <f t="shared" si="2"/>
        <v>11547.005383792517</v>
      </c>
      <c r="K27" s="49">
        <f t="shared" si="3"/>
        <v>28.867513459481291</v>
      </c>
      <c r="L27" s="51"/>
      <c r="O27" s="254" t="s">
        <v>132</v>
      </c>
      <c r="P27" s="255"/>
      <c r="Q27" s="255"/>
      <c r="R27" s="255"/>
      <c r="S27" s="255"/>
      <c r="T27" s="255"/>
      <c r="U27" s="255"/>
      <c r="V27" s="255"/>
      <c r="W27" s="255"/>
      <c r="X27" s="256"/>
    </row>
    <row r="28" spans="2:24" x14ac:dyDescent="0.25">
      <c r="B28">
        <v>6</v>
      </c>
      <c r="C28" s="265"/>
      <c r="D28" s="52">
        <v>20</v>
      </c>
      <c r="E28" s="51">
        <f>$D$5/SQRT(D28*$C27)</f>
        <v>271.05759945484323</v>
      </c>
      <c r="F28" s="51">
        <f t="shared" si="0"/>
        <v>5421.1519890968648</v>
      </c>
      <c r="G28" s="53">
        <f t="shared" si="1"/>
        <v>23.570226039551585</v>
      </c>
      <c r="H28" s="52">
        <v>20</v>
      </c>
      <c r="I28" s="51">
        <f>$H$5/SQRT(H28*$C27)</f>
        <v>471.4045207910317</v>
      </c>
      <c r="J28" s="51">
        <f t="shared" si="2"/>
        <v>9428.090415820634</v>
      </c>
      <c r="K28" s="51">
        <f t="shared" si="3"/>
        <v>23.570226039551585</v>
      </c>
      <c r="L28" s="51"/>
      <c r="O28" s="6"/>
      <c r="P28" s="2"/>
      <c r="Q28" s="74" t="str">
        <f>IF(OR(P29/VLOOKUP($O29,$O$8:$P$12,2,0)-1&lt;0,P29/VLOOKUP($O29,$O$8:$P$12,2,0)-1&gt;0.33),"",VLOOKUP($O29,$O$8:$P$12,2,0))</f>
        <v/>
      </c>
      <c r="R28" s="2"/>
      <c r="S28" s="2"/>
      <c r="T28" s="2"/>
      <c r="U28" s="2"/>
      <c r="V28" s="2"/>
      <c r="W28" s="74" t="str">
        <f>IF(OR(V29/VLOOKUP($U29,$U$8:$V$12,2,0)-1&lt;0,V29/VLOOKUP($U29,$U$8:$V$12,2,0)-1&gt;0.33),"",VLOOKUP($U29,$U$8:$V$12,2,0))</f>
        <v/>
      </c>
      <c r="X28" s="7"/>
    </row>
    <row r="29" spans="2:24" x14ac:dyDescent="0.25">
      <c r="C29" s="265"/>
      <c r="D29" s="54">
        <v>15</v>
      </c>
      <c r="E29" s="60">
        <f>$D$5/SQRT(D29*$C27)</f>
        <v>312.99035602229503</v>
      </c>
      <c r="F29" s="60">
        <f t="shared" si="0"/>
        <v>4694.8553403344258</v>
      </c>
      <c r="G29" s="61">
        <f t="shared" si="1"/>
        <v>20.412414523193156</v>
      </c>
      <c r="H29" s="54">
        <v>15</v>
      </c>
      <c r="I29" s="60">
        <f>$H$5/SQRT(H29*$C27)</f>
        <v>544.33105395181747</v>
      </c>
      <c r="J29" s="60">
        <f t="shared" si="2"/>
        <v>8164.9658092772625</v>
      </c>
      <c r="K29" s="55">
        <f t="shared" si="3"/>
        <v>20.412414523193156</v>
      </c>
      <c r="L29" s="51"/>
      <c r="O29" s="80">
        <f>MIN(O31:O35)</f>
        <v>5.7470085470085461E-2</v>
      </c>
      <c r="P29" s="76">
        <f>'DEVImulti calculation'!$D$18</f>
        <v>0.16547008547008546</v>
      </c>
      <c r="Q29" s="72">
        <f>VLOOKUP($O29,$O$8:$P$12,2,0)</f>
        <v>0.108</v>
      </c>
      <c r="R29" s="77">
        <f>+P29/Q29-1</f>
        <v>0.53213042101930985</v>
      </c>
      <c r="S29" s="2"/>
      <c r="T29" s="2"/>
      <c r="U29" s="75">
        <f>MIN(U31:U35)</f>
        <v>8.4470085470085457E-2</v>
      </c>
      <c r="V29" s="75">
        <f>'DEVImulti calculation'!$D$18</f>
        <v>0.16547008547008546</v>
      </c>
      <c r="W29" s="72">
        <f>VLOOKUP($U29,$U$8:$V$12,2,0)</f>
        <v>8.1000000000000003E-2</v>
      </c>
      <c r="X29" s="81">
        <f>+P29/W29-1</f>
        <v>1.0428405613590797</v>
      </c>
    </row>
    <row r="30" spans="2:24" ht="15.75" thickBot="1" x14ac:dyDescent="0.3">
      <c r="C30" s="266"/>
      <c r="D30" s="57">
        <v>10</v>
      </c>
      <c r="E30" s="62">
        <f>$D$5/SQRT(D30*$C27)</f>
        <v>383.33333333333337</v>
      </c>
      <c r="F30" s="62">
        <f t="shared" si="0"/>
        <v>3833.3333333333339</v>
      </c>
      <c r="G30" s="63">
        <f t="shared" si="1"/>
        <v>16.666666666666668</v>
      </c>
      <c r="H30" s="57">
        <v>10</v>
      </c>
      <c r="I30" s="62">
        <f>$H$5/SQRT(H30*$C27)</f>
        <v>666.66666666666674</v>
      </c>
      <c r="J30" s="62">
        <f t="shared" si="2"/>
        <v>6666.6666666666679</v>
      </c>
      <c r="K30" s="58">
        <f t="shared" si="3"/>
        <v>16.666666666666671</v>
      </c>
      <c r="L30" s="51"/>
      <c r="O30" s="6"/>
      <c r="P30" s="78" t="s">
        <v>127</v>
      </c>
      <c r="Q30" s="2"/>
      <c r="R30" s="2"/>
      <c r="S30" s="2"/>
      <c r="T30" s="2"/>
      <c r="U30" s="2"/>
      <c r="V30" s="78" t="s">
        <v>128</v>
      </c>
      <c r="W30" s="2"/>
      <c r="X30" s="7"/>
    </row>
    <row r="31" spans="2:24" x14ac:dyDescent="0.25">
      <c r="C31" s="261">
        <f>(E$3/2) +(E$3/2)</f>
        <v>2.7E-2</v>
      </c>
      <c r="D31" s="48">
        <v>30</v>
      </c>
      <c r="E31" s="49">
        <f>$D$5/SQRT(D31*$C31)</f>
        <v>255.55555555555554</v>
      </c>
      <c r="F31" s="49">
        <f t="shared" si="0"/>
        <v>7666.6666666666661</v>
      </c>
      <c r="G31" s="50">
        <f t="shared" si="1"/>
        <v>33.333333333333329</v>
      </c>
      <c r="H31" s="48">
        <v>30</v>
      </c>
      <c r="I31" s="49">
        <f>$H$5/SQRT(H31*$C31)</f>
        <v>444.44444444444446</v>
      </c>
      <c r="J31" s="49">
        <f t="shared" si="2"/>
        <v>13333.333333333334</v>
      </c>
      <c r="K31" s="49">
        <f t="shared" si="3"/>
        <v>33.333333333333336</v>
      </c>
      <c r="L31" s="51"/>
      <c r="O31" s="80">
        <f>+ABS($P$6-P31)</f>
        <v>0.13847008547008546</v>
      </c>
      <c r="P31" s="78">
        <v>2.7E-2</v>
      </c>
      <c r="Q31" s="79">
        <f>+$P$6/P31-1</f>
        <v>5.1285216840772394</v>
      </c>
      <c r="R31" s="2"/>
      <c r="S31" s="2"/>
      <c r="T31" s="2"/>
      <c r="U31" s="75">
        <f>+ABS($V$6-V31)</f>
        <v>8.4470085470085457E-2</v>
      </c>
      <c r="V31" s="78">
        <v>8.1000000000000003E-2</v>
      </c>
      <c r="W31" s="79">
        <f>+$P$6/V31-1</f>
        <v>1.0428405613590797</v>
      </c>
      <c r="X31" s="7"/>
    </row>
    <row r="32" spans="2:24" x14ac:dyDescent="0.25">
      <c r="B32">
        <v>7</v>
      </c>
      <c r="C32" s="262"/>
      <c r="D32" s="52">
        <v>20</v>
      </c>
      <c r="E32" s="51">
        <f>$D$5/SQRT(D32*$C31)</f>
        <v>312.99035602229497</v>
      </c>
      <c r="F32" s="51">
        <f t="shared" si="0"/>
        <v>6259.8071204458993</v>
      </c>
      <c r="G32" s="53">
        <f t="shared" si="1"/>
        <v>27.216552697590867</v>
      </c>
      <c r="H32" s="52">
        <v>20</v>
      </c>
      <c r="I32" s="51">
        <f>$H$5/SQRT(H32*$C31)</f>
        <v>544.33105395181735</v>
      </c>
      <c r="J32" s="51">
        <f t="shared" si="2"/>
        <v>10886.621079036348</v>
      </c>
      <c r="K32" s="51">
        <f t="shared" si="3"/>
        <v>27.21655269759087</v>
      </c>
      <c r="L32" s="51"/>
      <c r="O32" s="80">
        <f t="shared" ref="O32:O35" si="12">+ABS($P$6-P32)</f>
        <v>0.12947008547008546</v>
      </c>
      <c r="P32" s="78">
        <v>3.5999999999999997E-2</v>
      </c>
      <c r="Q32" s="79">
        <f t="shared" ref="Q32:Q35" si="13">+$P$6/P32-1</f>
        <v>3.5963912630579298</v>
      </c>
      <c r="R32" s="2"/>
      <c r="S32" s="2"/>
      <c r="T32" s="2"/>
      <c r="U32" s="75">
        <f t="shared" ref="U32:U35" si="14">+ABS($V$6-V32)</f>
        <v>9.7970085470085455E-2</v>
      </c>
      <c r="V32" s="78">
        <v>6.7500000000000004E-2</v>
      </c>
      <c r="W32" s="79">
        <f t="shared" ref="W32:W35" si="15">+$P$6/V32-1</f>
        <v>1.4514086736308953</v>
      </c>
      <c r="X32" s="7"/>
    </row>
    <row r="33" spans="2:24" x14ac:dyDescent="0.25">
      <c r="C33" s="262"/>
      <c r="D33" s="54">
        <v>15</v>
      </c>
      <c r="E33" s="60">
        <f>$D$5/SQRT(D33*$C31)</f>
        <v>361.41013260645764</v>
      </c>
      <c r="F33" s="60">
        <f t="shared" si="0"/>
        <v>5421.1519890968648</v>
      </c>
      <c r="G33" s="61">
        <f t="shared" si="1"/>
        <v>23.570226039551585</v>
      </c>
      <c r="H33" s="54">
        <v>15</v>
      </c>
      <c r="I33" s="60">
        <f>$H$5/SQRT(H33*$C31)</f>
        <v>628.53936105470893</v>
      </c>
      <c r="J33" s="60">
        <f t="shared" si="2"/>
        <v>9428.090415820634</v>
      </c>
      <c r="K33" s="55">
        <f t="shared" si="3"/>
        <v>23.570226039551585</v>
      </c>
      <c r="L33" s="51"/>
      <c r="O33" s="80">
        <f t="shared" si="12"/>
        <v>0.12497008547008545</v>
      </c>
      <c r="P33" s="78">
        <v>4.0500000000000001E-2</v>
      </c>
      <c r="Q33" s="79">
        <f t="shared" si="13"/>
        <v>3.0856811227181593</v>
      </c>
      <c r="R33" s="2"/>
      <c r="S33" s="2"/>
      <c r="T33" s="2"/>
      <c r="U33" s="75">
        <f t="shared" si="14"/>
        <v>0.15197008547008545</v>
      </c>
      <c r="V33" s="78">
        <v>1.35E-2</v>
      </c>
      <c r="W33" s="79">
        <f t="shared" si="15"/>
        <v>11.257043368154479</v>
      </c>
      <c r="X33" s="7"/>
    </row>
    <row r="34" spans="2:24" ht="15.75" thickBot="1" x14ac:dyDescent="0.3">
      <c r="C34" s="263"/>
      <c r="D34" s="57">
        <v>10</v>
      </c>
      <c r="E34" s="62">
        <f>$D$5/SQRT(D34*$C31)</f>
        <v>442.63520637871301</v>
      </c>
      <c r="F34" s="62">
        <f t="shared" si="0"/>
        <v>4426.3520637871297</v>
      </c>
      <c r="G34" s="63">
        <f t="shared" si="1"/>
        <v>19.24500897298752</v>
      </c>
      <c r="H34" s="57">
        <v>10</v>
      </c>
      <c r="I34" s="62">
        <f>$H$5/SQRT(H34*$C31)</f>
        <v>769.80035891950092</v>
      </c>
      <c r="J34" s="62">
        <f t="shared" si="2"/>
        <v>7698.0035891950092</v>
      </c>
      <c r="K34" s="58">
        <f t="shared" si="3"/>
        <v>19.245008972987524</v>
      </c>
      <c r="L34" s="51"/>
      <c r="O34" s="80">
        <f t="shared" si="12"/>
        <v>0.11147008547008547</v>
      </c>
      <c r="P34" s="78">
        <v>5.3999999999999999E-2</v>
      </c>
      <c r="Q34" s="79">
        <f t="shared" si="13"/>
        <v>2.0642608420386197</v>
      </c>
      <c r="R34" s="2"/>
      <c r="S34" s="2"/>
      <c r="T34" s="2"/>
      <c r="U34" s="75">
        <f t="shared" si="14"/>
        <v>0.15647008547008545</v>
      </c>
      <c r="V34" s="78">
        <v>8.9999999999999993E-3</v>
      </c>
      <c r="W34" s="79">
        <f t="shared" si="15"/>
        <v>17.385565052231719</v>
      </c>
      <c r="X34" s="7"/>
    </row>
    <row r="35" spans="2:24" ht="15.75" thickBot="1" x14ac:dyDescent="0.3">
      <c r="C35" s="270">
        <f>(E$3/2)</f>
        <v>1.35E-2</v>
      </c>
      <c r="D35" s="48">
        <v>30</v>
      </c>
      <c r="E35" s="49">
        <f>$D$5/SQRT(D35*$C35)</f>
        <v>361.41013260645764</v>
      </c>
      <c r="F35" s="49">
        <f t="shared" si="0"/>
        <v>10842.30397819373</v>
      </c>
      <c r="G35" s="50">
        <f t="shared" si="1"/>
        <v>47.14045207910317</v>
      </c>
      <c r="H35" s="48">
        <v>30</v>
      </c>
      <c r="I35" s="49">
        <f>$H$5/SQRT(H35*$C35)</f>
        <v>628.53936105470893</v>
      </c>
      <c r="J35" s="49">
        <f t="shared" si="2"/>
        <v>18856.180831641268</v>
      </c>
      <c r="K35" s="49">
        <f t="shared" si="3"/>
        <v>47.14045207910317</v>
      </c>
      <c r="L35" s="51"/>
      <c r="O35" s="82">
        <f t="shared" si="12"/>
        <v>5.7470085470085461E-2</v>
      </c>
      <c r="P35" s="83">
        <v>0.108</v>
      </c>
      <c r="Q35" s="84">
        <f t="shared" si="13"/>
        <v>0.53213042101930985</v>
      </c>
      <c r="R35" s="71"/>
      <c r="S35" s="71"/>
      <c r="T35" s="71"/>
      <c r="U35" s="85">
        <f t="shared" si="14"/>
        <v>0.15872008547008545</v>
      </c>
      <c r="V35" s="83">
        <v>6.7499999999999999E-3</v>
      </c>
      <c r="W35" s="84">
        <f t="shared" si="15"/>
        <v>23.514086736308958</v>
      </c>
      <c r="X35" s="8"/>
    </row>
    <row r="36" spans="2:24" x14ac:dyDescent="0.25">
      <c r="B36">
        <v>8</v>
      </c>
      <c r="C36" s="271"/>
      <c r="D36" s="52">
        <v>20</v>
      </c>
      <c r="E36" s="51">
        <f>$D$5/SQRT(D36*$C35)</f>
        <v>442.63520637871301</v>
      </c>
      <c r="F36" s="51">
        <f t="shared" si="0"/>
        <v>8852.7041275742595</v>
      </c>
      <c r="G36" s="53">
        <f t="shared" si="1"/>
        <v>38.49001794597504</v>
      </c>
      <c r="H36" s="52">
        <v>20</v>
      </c>
      <c r="I36" s="51">
        <f>$H$5/SQRT(H36*$C35)</f>
        <v>769.80035891950092</v>
      </c>
      <c r="J36" s="51">
        <f t="shared" si="2"/>
        <v>15396.007178390018</v>
      </c>
      <c r="K36" s="51">
        <f t="shared" si="3"/>
        <v>38.490017945975048</v>
      </c>
      <c r="L36" s="51"/>
      <c r="O36" s="6"/>
      <c r="P36" s="88"/>
      <c r="Q36" s="2"/>
      <c r="R36" s="2"/>
      <c r="S36" s="2"/>
      <c r="T36" s="2"/>
      <c r="U36" s="2"/>
      <c r="V36" s="2"/>
      <c r="W36" s="2"/>
      <c r="X36" s="7"/>
    </row>
    <row r="37" spans="2:24" ht="15.75" thickBot="1" x14ac:dyDescent="0.3">
      <c r="C37" s="271"/>
      <c r="D37" s="54">
        <v>15</v>
      </c>
      <c r="E37" s="60">
        <f>$D$5/SQRT(D37*$C35)</f>
        <v>511.11111111111109</v>
      </c>
      <c r="F37" s="60">
        <f t="shared" si="0"/>
        <v>7666.6666666666661</v>
      </c>
      <c r="G37" s="61">
        <f t="shared" si="1"/>
        <v>33.333333333333329</v>
      </c>
      <c r="H37" s="54">
        <v>15</v>
      </c>
      <c r="I37" s="60">
        <f>$H$5/SQRT(H37*$C35)</f>
        <v>888.88888888888891</v>
      </c>
      <c r="J37" s="60">
        <f t="shared" si="2"/>
        <v>13333.333333333334</v>
      </c>
      <c r="K37" s="55">
        <f t="shared" si="3"/>
        <v>33.333333333333336</v>
      </c>
      <c r="L37" s="51"/>
      <c r="O37" s="6"/>
      <c r="P37" s="2"/>
      <c r="Q37" s="2"/>
      <c r="R37" s="2"/>
      <c r="S37" s="2"/>
      <c r="T37" s="2"/>
      <c r="U37" s="2"/>
      <c r="V37" s="2"/>
      <c r="W37" s="2"/>
      <c r="X37" s="7"/>
    </row>
    <row r="38" spans="2:24" ht="15.75" thickBot="1" x14ac:dyDescent="0.3">
      <c r="C38" s="272"/>
      <c r="D38" s="57">
        <v>10</v>
      </c>
      <c r="E38" s="62">
        <f>$D$5/SQRT(D38*$C35)</f>
        <v>625.98071204458995</v>
      </c>
      <c r="F38" s="62">
        <f t="shared" si="0"/>
        <v>6259.8071204458993</v>
      </c>
      <c r="G38" s="63">
        <f t="shared" si="1"/>
        <v>27.216552697590867</v>
      </c>
      <c r="H38" s="57">
        <v>10</v>
      </c>
      <c r="I38" s="62">
        <f>$H$5/SQRT(H38*$C35)</f>
        <v>1088.6621079036347</v>
      </c>
      <c r="J38" s="62">
        <f t="shared" si="2"/>
        <v>10886.621079036348</v>
      </c>
      <c r="K38" s="58">
        <f t="shared" si="3"/>
        <v>27.21655269759087</v>
      </c>
      <c r="L38" s="51"/>
      <c r="O38" s="254" t="s">
        <v>133</v>
      </c>
      <c r="P38" s="255"/>
      <c r="Q38" s="255"/>
      <c r="R38" s="255"/>
      <c r="S38" s="255"/>
      <c r="T38" s="255"/>
      <c r="U38" s="255"/>
      <c r="V38" s="255"/>
      <c r="W38" s="255"/>
      <c r="X38" s="256"/>
    </row>
    <row r="39" spans="2:24" x14ac:dyDescent="0.25">
      <c r="C39" s="261">
        <f>(E$3/3)</f>
        <v>8.9999999999999993E-3</v>
      </c>
      <c r="D39" s="48">
        <v>30</v>
      </c>
      <c r="E39" s="49">
        <f>$D$5/SQRT(D39*$C39)</f>
        <v>442.63520637871312</v>
      </c>
      <c r="F39" s="49">
        <f t="shared" si="0"/>
        <v>13279.056191361393</v>
      </c>
      <c r="G39" s="50">
        <f t="shared" si="1"/>
        <v>57.735026918962575</v>
      </c>
      <c r="H39" s="48">
        <v>30</v>
      </c>
      <c r="I39" s="49">
        <f>$H$5/SQRT(H39*$C39)</f>
        <v>769.80035891950115</v>
      </c>
      <c r="J39" s="49">
        <f t="shared" si="2"/>
        <v>23094.010767585034</v>
      </c>
      <c r="K39" s="49">
        <f t="shared" si="3"/>
        <v>57.735026918962582</v>
      </c>
      <c r="L39" s="51"/>
      <c r="O39" s="3"/>
      <c r="P39" s="4"/>
      <c r="Q39" s="87" t="str">
        <f>IF(OR(P40/VLOOKUP($O40,O42:P46,2,0)-1&lt;0,P40/VLOOKUP($O40,O42:P46,2,0)-1&gt;0.33),"",VLOOKUP($O40,O42:P46,2,0))</f>
        <v/>
      </c>
      <c r="R39" s="4"/>
      <c r="S39" s="4"/>
      <c r="T39" s="4"/>
      <c r="U39" s="4"/>
      <c r="V39" s="4"/>
      <c r="W39" s="87">
        <f>IF(OR(V40/VLOOKUP($U40,U42:V46,2,0)-1&lt;0,V40/VLOOKUP($U40,U42:V46,2,0)-1&gt;0.33),"",VLOOKUP($U40,U42:V46,2,0))</f>
        <v>8.1000000000000003E-2</v>
      </c>
      <c r="X39" s="5"/>
    </row>
    <row r="40" spans="2:24" x14ac:dyDescent="0.25">
      <c r="B40">
        <v>9</v>
      </c>
      <c r="C40" s="262"/>
      <c r="D40" s="52">
        <v>20</v>
      </c>
      <c r="E40" s="51">
        <f>$D$5/SQRT(D40*$C39)</f>
        <v>542.11519890968646</v>
      </c>
      <c r="F40" s="51">
        <f t="shared" si="0"/>
        <v>10842.30397819373</v>
      </c>
      <c r="G40" s="53">
        <f t="shared" si="1"/>
        <v>47.14045207910317</v>
      </c>
      <c r="H40" s="52">
        <v>20</v>
      </c>
      <c r="I40" s="51">
        <f>$H$5/SQRT(H40*$C39)</f>
        <v>942.8090415820634</v>
      </c>
      <c r="J40" s="51">
        <f t="shared" si="2"/>
        <v>18856.180831641268</v>
      </c>
      <c r="K40" s="51">
        <f t="shared" si="3"/>
        <v>47.14045207910317</v>
      </c>
      <c r="L40" s="51"/>
      <c r="O40" s="80">
        <f>MIN(O42:O46)</f>
        <v>2.5264957264957269E-2</v>
      </c>
      <c r="P40" s="76">
        <f>'DEVImulti calculation'!$D$19</f>
        <v>8.273504273504273E-2</v>
      </c>
      <c r="Q40" s="72">
        <f>VLOOKUP($O40,O42:P46,2,0)</f>
        <v>0.108</v>
      </c>
      <c r="R40" s="77">
        <f>+P40/Q40-1</f>
        <v>-0.23393478949034507</v>
      </c>
      <c r="S40" s="2"/>
      <c r="T40" s="2"/>
      <c r="U40" s="75">
        <f>MIN(U42:U46)</f>
        <v>1.7350427350427272E-3</v>
      </c>
      <c r="V40" s="75">
        <f>'DEVImulti calculation'!$D$19</f>
        <v>8.273504273504273E-2</v>
      </c>
      <c r="W40" s="72">
        <f>VLOOKUP($U40,U42:V46,2,0)</f>
        <v>8.1000000000000003E-2</v>
      </c>
      <c r="X40" s="81">
        <f>+P40/W40-1</f>
        <v>2.1420280679539827E-2</v>
      </c>
    </row>
    <row r="41" spans="2:24" x14ac:dyDescent="0.25">
      <c r="C41" s="262"/>
      <c r="D41" s="54">
        <v>15</v>
      </c>
      <c r="E41" s="60">
        <f>$D$5/SQRT(D41*$C39)</f>
        <v>625.98071204459006</v>
      </c>
      <c r="F41" s="60">
        <f t="shared" si="0"/>
        <v>9389.7106806688516</v>
      </c>
      <c r="G41" s="61">
        <f t="shared" si="1"/>
        <v>40.824829046386313</v>
      </c>
      <c r="H41" s="54">
        <v>15</v>
      </c>
      <c r="I41" s="60">
        <f>$H$5/SQRT(H41*$C39)</f>
        <v>1088.6621079036349</v>
      </c>
      <c r="J41" s="60">
        <f t="shared" si="2"/>
        <v>16329.931618554525</v>
      </c>
      <c r="K41" s="55">
        <f t="shared" si="3"/>
        <v>40.824829046386313</v>
      </c>
      <c r="L41" s="51"/>
      <c r="O41" s="6"/>
      <c r="P41" s="78" t="s">
        <v>127</v>
      </c>
      <c r="Q41" s="2"/>
      <c r="R41" s="2"/>
      <c r="S41" s="2"/>
      <c r="T41" s="2"/>
      <c r="U41" s="2"/>
      <c r="V41" s="78" t="s">
        <v>128</v>
      </c>
      <c r="W41" s="2"/>
      <c r="X41" s="7"/>
    </row>
    <row r="42" spans="2:24" ht="15.75" thickBot="1" x14ac:dyDescent="0.3">
      <c r="C42" s="263"/>
      <c r="D42" s="57">
        <v>10</v>
      </c>
      <c r="E42" s="62">
        <f>$D$5/SQRT(D42*$C39)</f>
        <v>766.66666666666674</v>
      </c>
      <c r="F42" s="62">
        <f t="shared" si="0"/>
        <v>7666.6666666666679</v>
      </c>
      <c r="G42" s="63">
        <f t="shared" si="1"/>
        <v>33.333333333333336</v>
      </c>
      <c r="H42" s="57">
        <v>10</v>
      </c>
      <c r="I42" s="62">
        <f>$H$5/SQRT(H42*$C39)</f>
        <v>1333.3333333333335</v>
      </c>
      <c r="J42" s="62">
        <f t="shared" si="2"/>
        <v>13333.333333333336</v>
      </c>
      <c r="K42" s="58">
        <f t="shared" si="3"/>
        <v>33.333333333333343</v>
      </c>
      <c r="L42" s="51"/>
      <c r="O42" s="80">
        <f>+ABS($P$17-P42)</f>
        <v>5.5735042735042734E-2</v>
      </c>
      <c r="P42" s="78">
        <v>2.7E-2</v>
      </c>
      <c r="Q42" s="79">
        <f>+$P$17/P42-1</f>
        <v>2.0642608420386197</v>
      </c>
      <c r="R42" s="2"/>
      <c r="S42" s="2"/>
      <c r="T42" s="2"/>
      <c r="U42" s="75">
        <f>+ABS($V$17-V42)</f>
        <v>1.7350427350427272E-3</v>
      </c>
      <c r="V42" s="78">
        <v>8.1000000000000003E-2</v>
      </c>
      <c r="W42" s="79">
        <f>+$P$17/V42-1</f>
        <v>2.1420280679539827E-2</v>
      </c>
      <c r="X42" s="7"/>
    </row>
    <row r="43" spans="2:24" x14ac:dyDescent="0.25">
      <c r="C43" s="258">
        <f>(E$3/4)</f>
        <v>6.7499999999999999E-3</v>
      </c>
      <c r="D43" s="48">
        <v>30</v>
      </c>
      <c r="E43" s="49">
        <f>$D$5/SQRT(D43*$C43)</f>
        <v>511.11111111111109</v>
      </c>
      <c r="F43" s="49">
        <f t="shared" si="0"/>
        <v>15333.333333333332</v>
      </c>
      <c r="G43" s="50">
        <f t="shared" si="1"/>
        <v>66.666666666666657</v>
      </c>
      <c r="H43" s="48">
        <v>30</v>
      </c>
      <c r="I43" s="49">
        <f>$H$5/SQRT(H43*$C43)</f>
        <v>888.88888888888891</v>
      </c>
      <c r="J43" s="49">
        <f t="shared" si="2"/>
        <v>26666.666666666668</v>
      </c>
      <c r="K43" s="49">
        <f t="shared" si="3"/>
        <v>66.666666666666671</v>
      </c>
      <c r="L43" s="51"/>
      <c r="O43" s="80">
        <f t="shared" ref="O43:O46" si="16">+ABS($P$17-P43)</f>
        <v>4.6735042735042732E-2</v>
      </c>
      <c r="P43" s="78">
        <v>3.5999999999999997E-2</v>
      </c>
      <c r="Q43" s="79">
        <f t="shared" ref="Q43:Q46" si="17">+$P$17/P43-1</f>
        <v>1.2981956315289649</v>
      </c>
      <c r="R43" s="2"/>
      <c r="S43" s="2"/>
      <c r="T43" s="2"/>
      <c r="U43" s="75">
        <f t="shared" ref="U43:U46" si="18">+ABS($V$17-V43)</f>
        <v>1.5235042735042725E-2</v>
      </c>
      <c r="V43" s="78">
        <v>6.7500000000000004E-2</v>
      </c>
      <c r="W43" s="79">
        <f t="shared" ref="W43:W46" si="19">+$P$17/V43-1</f>
        <v>0.22570433681544766</v>
      </c>
      <c r="X43" s="7"/>
    </row>
    <row r="44" spans="2:24" x14ac:dyDescent="0.25">
      <c r="B44">
        <v>10</v>
      </c>
      <c r="C44" s="259"/>
      <c r="D44" s="52">
        <v>20</v>
      </c>
      <c r="E44" s="51">
        <f>$D$5/SQRT(D44*$C43)</f>
        <v>625.98071204458995</v>
      </c>
      <c r="F44" s="51">
        <f t="shared" si="0"/>
        <v>12519.614240891799</v>
      </c>
      <c r="G44" s="53">
        <f t="shared" si="1"/>
        <v>54.433105395181734</v>
      </c>
      <c r="H44" s="52">
        <v>20</v>
      </c>
      <c r="I44" s="51">
        <f>$H$5/SQRT(H44*$C43)</f>
        <v>1088.6621079036347</v>
      </c>
      <c r="J44" s="51">
        <f t="shared" si="2"/>
        <v>21773.242158072695</v>
      </c>
      <c r="K44" s="51">
        <f t="shared" si="3"/>
        <v>54.433105395181741</v>
      </c>
      <c r="L44" s="51"/>
      <c r="O44" s="80">
        <f t="shared" si="16"/>
        <v>4.2235042735042728E-2</v>
      </c>
      <c r="P44" s="78">
        <v>4.0500000000000001E-2</v>
      </c>
      <c r="Q44" s="79">
        <f t="shared" si="17"/>
        <v>1.0428405613590797</v>
      </c>
      <c r="R44" s="2"/>
      <c r="S44" s="2"/>
      <c r="T44" s="2"/>
      <c r="U44" s="75">
        <f t="shared" si="18"/>
        <v>6.9235042735042732E-2</v>
      </c>
      <c r="V44" s="78">
        <v>1.35E-2</v>
      </c>
      <c r="W44" s="79">
        <f t="shared" si="19"/>
        <v>5.1285216840772394</v>
      </c>
      <c r="X44" s="7"/>
    </row>
    <row r="45" spans="2:24" x14ac:dyDescent="0.25">
      <c r="C45" s="259"/>
      <c r="D45" s="54">
        <v>15</v>
      </c>
      <c r="E45" s="60">
        <f>$D$5/SQRT(D45*$C43)</f>
        <v>722.82026521291527</v>
      </c>
      <c r="F45" s="60">
        <f t="shared" si="0"/>
        <v>10842.30397819373</v>
      </c>
      <c r="G45" s="61">
        <f t="shared" si="1"/>
        <v>47.14045207910317</v>
      </c>
      <c r="H45" s="54">
        <v>15</v>
      </c>
      <c r="I45" s="60">
        <f>$H$5/SQRT(H45*$C43)</f>
        <v>1257.0787221094179</v>
      </c>
      <c r="J45" s="60">
        <f t="shared" si="2"/>
        <v>18856.180831641268</v>
      </c>
      <c r="K45" s="55">
        <f t="shared" si="3"/>
        <v>47.14045207910317</v>
      </c>
      <c r="L45" s="51"/>
      <c r="O45" s="80">
        <f t="shared" si="16"/>
        <v>2.873504273504273E-2</v>
      </c>
      <c r="P45" s="78">
        <v>5.3999999999999999E-2</v>
      </c>
      <c r="Q45" s="79">
        <f t="shared" si="17"/>
        <v>0.53213042101930985</v>
      </c>
      <c r="R45" s="2"/>
      <c r="S45" s="2"/>
      <c r="T45" s="2"/>
      <c r="U45" s="75">
        <f t="shared" si="18"/>
        <v>7.3735042735042736E-2</v>
      </c>
      <c r="V45" s="78">
        <v>8.9999999999999993E-3</v>
      </c>
      <c r="W45" s="79">
        <f t="shared" si="19"/>
        <v>8.1927825261158596</v>
      </c>
      <c r="X45" s="7"/>
    </row>
    <row r="46" spans="2:24" ht="15.75" thickBot="1" x14ac:dyDescent="0.3">
      <c r="C46" s="260"/>
      <c r="D46" s="57">
        <v>10</v>
      </c>
      <c r="E46" s="62">
        <f>$D$5/SQRT(D46*$C43)</f>
        <v>885.27041275742602</v>
      </c>
      <c r="F46" s="62">
        <f t="shared" si="0"/>
        <v>8852.7041275742595</v>
      </c>
      <c r="G46" s="63">
        <f t="shared" si="1"/>
        <v>38.49001794597504</v>
      </c>
      <c r="H46" s="57">
        <v>10</v>
      </c>
      <c r="I46" s="62">
        <f>$H$5/SQRT(H46*$C43)</f>
        <v>1539.6007178390018</v>
      </c>
      <c r="J46" s="62">
        <f t="shared" si="2"/>
        <v>15396.007178390018</v>
      </c>
      <c r="K46" s="58">
        <f t="shared" si="3"/>
        <v>38.490017945975048</v>
      </c>
      <c r="L46" s="51"/>
      <c r="O46" s="82">
        <f t="shared" si="16"/>
        <v>2.5264957264957269E-2</v>
      </c>
      <c r="P46" s="83">
        <v>0.108</v>
      </c>
      <c r="Q46" s="84">
        <f t="shared" si="17"/>
        <v>-0.23393478949034507</v>
      </c>
      <c r="R46" s="71"/>
      <c r="S46" s="71"/>
      <c r="T46" s="71"/>
      <c r="U46" s="85">
        <f t="shared" si="18"/>
        <v>7.5985042735042724E-2</v>
      </c>
      <c r="V46" s="83">
        <v>6.7499999999999999E-3</v>
      </c>
      <c r="W46" s="84">
        <f t="shared" si="19"/>
        <v>11.257043368154479</v>
      </c>
      <c r="X46" s="8"/>
    </row>
    <row r="47" spans="2:24" x14ac:dyDescent="0.25">
      <c r="C47" s="261">
        <f>E$3/3</f>
        <v>8.9999999999999993E-3</v>
      </c>
      <c r="D47" s="70">
        <v>30</v>
      </c>
      <c r="E47" s="49"/>
      <c r="F47" s="49"/>
      <c r="G47" s="50"/>
      <c r="H47" s="48">
        <v>30</v>
      </c>
      <c r="I47" s="49">
        <f>$D$5/SQRT(H47*$C47)</f>
        <v>442.63520637871312</v>
      </c>
      <c r="J47" s="49">
        <f t="shared" si="2"/>
        <v>13279.056191361393</v>
      </c>
      <c r="K47" s="49">
        <f t="shared" si="3"/>
        <v>33.197640478403486</v>
      </c>
      <c r="L47" s="51"/>
      <c r="N47">
        <f>220/SQRT(3)</f>
        <v>127.01705922171767</v>
      </c>
    </row>
    <row r="48" spans="2:24" x14ac:dyDescent="0.25">
      <c r="B48">
        <v>11</v>
      </c>
      <c r="C48" s="262"/>
      <c r="D48" s="64">
        <v>20</v>
      </c>
      <c r="E48" s="51"/>
      <c r="F48" s="51"/>
      <c r="G48" s="53"/>
      <c r="H48" s="52">
        <v>20</v>
      </c>
      <c r="I48" s="51">
        <f>$D$5/SQRT(H48*$C47)</f>
        <v>542.11519890968646</v>
      </c>
      <c r="J48" s="51">
        <f t="shared" si="2"/>
        <v>10842.30397819373</v>
      </c>
      <c r="K48" s="51">
        <f t="shared" si="3"/>
        <v>27.105759945484323</v>
      </c>
      <c r="L48" s="51"/>
    </row>
    <row r="49" spans="3:21" ht="15.75" thickBot="1" x14ac:dyDescent="0.3">
      <c r="C49" s="262"/>
      <c r="D49" s="66">
        <v>15</v>
      </c>
      <c r="E49" s="60"/>
      <c r="F49" s="60"/>
      <c r="G49" s="61"/>
      <c r="H49" s="54">
        <v>15</v>
      </c>
      <c r="I49" s="60">
        <f>$D$5/SQRT(H49*$C47)</f>
        <v>625.98071204459006</v>
      </c>
      <c r="J49" s="60">
        <f t="shared" si="2"/>
        <v>9389.7106806688516</v>
      </c>
      <c r="K49" s="55">
        <f t="shared" si="3"/>
        <v>23.474276701672128</v>
      </c>
      <c r="L49" s="51"/>
    </row>
    <row r="50" spans="3:21" ht="15.75" thickBot="1" x14ac:dyDescent="0.3">
      <c r="C50" s="263"/>
      <c r="D50" s="68">
        <v>10</v>
      </c>
      <c r="E50" s="62"/>
      <c r="F50" s="62"/>
      <c r="G50" s="63"/>
      <c r="H50" s="57">
        <v>10</v>
      </c>
      <c r="I50" s="62">
        <f>$D$5/SQRT(H50*$C47)</f>
        <v>766.66666666666674</v>
      </c>
      <c r="J50" s="62">
        <f t="shared" si="2"/>
        <v>7666.6666666666679</v>
      </c>
      <c r="K50" s="58">
        <f t="shared" si="3"/>
        <v>19.166666666666671</v>
      </c>
      <c r="L50" s="51"/>
      <c r="R50" s="257">
        <v>-0.33</v>
      </c>
      <c r="S50" s="255"/>
      <c r="T50" s="255"/>
      <c r="U50" s="256"/>
    </row>
    <row r="51" spans="3:21" x14ac:dyDescent="0.25">
      <c r="R51" s="6"/>
      <c r="S51" s="2"/>
      <c r="T51" s="90" t="str">
        <f>IF(OR(S54/S52-1&lt;0,S54/S52-1&gt;0.33),"",S54)</f>
        <v/>
      </c>
      <c r="U51" s="7"/>
    </row>
    <row r="52" spans="3:21" x14ac:dyDescent="0.25">
      <c r="O52">
        <v>6.7499999999999999E-3</v>
      </c>
      <c r="R52" s="80"/>
      <c r="S52" s="76">
        <f>'DEVImulti calculation'!$D$18</f>
        <v>0.16547008547008546</v>
      </c>
      <c r="T52" s="89"/>
      <c r="U52" s="91"/>
    </row>
    <row r="53" spans="3:21" x14ac:dyDescent="0.25">
      <c r="R53" s="6"/>
      <c r="S53" s="92" t="s">
        <v>142</v>
      </c>
      <c r="T53" s="2"/>
      <c r="U53" s="7"/>
    </row>
    <row r="54" spans="3:21" ht="15.75" thickBot="1" x14ac:dyDescent="0.3">
      <c r="R54" s="82"/>
      <c r="S54" s="83">
        <v>2.7E-2</v>
      </c>
      <c r="T54" s="93"/>
      <c r="U54" s="8"/>
    </row>
    <row r="55" spans="3:21" ht="15.75" thickBot="1" x14ac:dyDescent="0.3"/>
    <row r="56" spans="3:21" ht="15.75" thickBot="1" x14ac:dyDescent="0.3">
      <c r="O56">
        <v>8.9999999999999993E-3</v>
      </c>
      <c r="R56" s="257">
        <v>0.1</v>
      </c>
      <c r="S56" s="255"/>
      <c r="T56" s="255"/>
      <c r="U56" s="256"/>
    </row>
    <row r="57" spans="3:21" x14ac:dyDescent="0.25">
      <c r="R57" s="94"/>
      <c r="S57" s="78"/>
      <c r="T57" s="97" t="str">
        <f>IF(OR(S54/S52-1&lt;-0.1,S54/S52-1&gt;0),"",S54)</f>
        <v/>
      </c>
      <c r="U57" s="95"/>
    </row>
    <row r="58" spans="3:21" x14ac:dyDescent="0.25">
      <c r="R58" s="6"/>
      <c r="S58" s="92" t="s">
        <v>142</v>
      </c>
      <c r="T58" s="2"/>
      <c r="U58" s="7"/>
    </row>
    <row r="59" spans="3:21" ht="15.75" thickBot="1" x14ac:dyDescent="0.3">
      <c r="R59" s="96"/>
      <c r="S59" s="83">
        <v>2.7E-2</v>
      </c>
      <c r="T59" s="71"/>
      <c r="U59" s="8"/>
    </row>
  </sheetData>
  <sortState ref="P8:P12">
    <sortCondition ref="P8"/>
  </sortState>
  <mergeCells count="22">
    <mergeCell ref="C15:C18"/>
    <mergeCell ref="C4:C5"/>
    <mergeCell ref="D5:E5"/>
    <mergeCell ref="H5:I5"/>
    <mergeCell ref="C7:C10"/>
    <mergeCell ref="C11:C14"/>
    <mergeCell ref="C43:C46"/>
    <mergeCell ref="C47:C50"/>
    <mergeCell ref="C19:C22"/>
    <mergeCell ref="C23:C26"/>
    <mergeCell ref="C27:C30"/>
    <mergeCell ref="C31:C34"/>
    <mergeCell ref="C35:C38"/>
    <mergeCell ref="C39:C42"/>
    <mergeCell ref="O38:X38"/>
    <mergeCell ref="R50:U50"/>
    <mergeCell ref="R56:U56"/>
    <mergeCell ref="O3:X3"/>
    <mergeCell ref="O26:X26"/>
    <mergeCell ref="O27:X27"/>
    <mergeCell ref="O4:X4"/>
    <mergeCell ref="O15:X1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8"/>
  <sheetViews>
    <sheetView topLeftCell="B31" workbookViewId="0">
      <selection activeCell="R62" sqref="R62"/>
    </sheetView>
  </sheetViews>
  <sheetFormatPr defaultRowHeight="15" x14ac:dyDescent="0.25"/>
  <cols>
    <col min="1" max="1" width="11.28515625" customWidth="1"/>
    <col min="2" max="2" width="11.85546875" customWidth="1"/>
    <col min="3" max="3" width="12.28515625" customWidth="1"/>
    <col min="4" max="4" width="7.85546875" customWidth="1"/>
    <col min="5" max="5" width="6.7109375" customWidth="1"/>
    <col min="6" max="6" width="8.140625" customWidth="1"/>
    <col min="7" max="7" width="6.28515625" customWidth="1"/>
    <col min="8" max="8" width="7.42578125" customWidth="1"/>
    <col min="9" max="9" width="8.28515625" customWidth="1"/>
    <col min="10" max="10" width="7.7109375" customWidth="1"/>
    <col min="11" max="11" width="6.42578125" customWidth="1"/>
    <col min="12" max="12" width="2.85546875" customWidth="1"/>
    <col min="13" max="13" width="11.28515625" customWidth="1"/>
    <col min="14" max="14" width="7.85546875" customWidth="1"/>
    <col min="15" max="15" width="7.28515625" customWidth="1"/>
    <col min="16" max="16" width="7.5703125" customWidth="1"/>
    <col min="17" max="17" width="6.5703125" bestFit="1" customWidth="1"/>
    <col min="18" max="18" width="8.42578125" customWidth="1"/>
    <col min="19" max="19" width="9.28515625" customWidth="1"/>
    <col min="20" max="20" width="7.85546875" customWidth="1"/>
    <col min="21" max="21" width="6.28515625" customWidth="1"/>
    <col min="257" max="257" width="11.28515625" customWidth="1"/>
    <col min="258" max="258" width="11.85546875" customWidth="1"/>
    <col min="259" max="259" width="12.28515625" customWidth="1"/>
    <col min="260" max="260" width="7.85546875" customWidth="1"/>
    <col min="261" max="261" width="6.7109375" customWidth="1"/>
    <col min="262" max="262" width="8.140625" customWidth="1"/>
    <col min="263" max="263" width="6.28515625" customWidth="1"/>
    <col min="264" max="264" width="7.42578125" customWidth="1"/>
    <col min="265" max="265" width="8.28515625" customWidth="1"/>
    <col min="266" max="266" width="7.7109375" customWidth="1"/>
    <col min="267" max="267" width="6.42578125" customWidth="1"/>
    <col min="268" max="268" width="2.85546875" customWidth="1"/>
    <col min="269" max="269" width="11.28515625" customWidth="1"/>
    <col min="270" max="270" width="7.85546875" customWidth="1"/>
    <col min="271" max="271" width="7.28515625" customWidth="1"/>
    <col min="272" max="272" width="7.5703125" customWidth="1"/>
    <col min="273" max="273" width="5.7109375" customWidth="1"/>
    <col min="274" max="274" width="8.42578125" customWidth="1"/>
    <col min="275" max="275" width="7.7109375" customWidth="1"/>
    <col min="276" max="276" width="7.85546875" customWidth="1"/>
    <col min="277" max="277" width="6.28515625" customWidth="1"/>
    <col min="513" max="513" width="11.28515625" customWidth="1"/>
    <col min="514" max="514" width="11.85546875" customWidth="1"/>
    <col min="515" max="515" width="12.28515625" customWidth="1"/>
    <col min="516" max="516" width="7.85546875" customWidth="1"/>
    <col min="517" max="517" width="6.7109375" customWidth="1"/>
    <col min="518" max="518" width="8.140625" customWidth="1"/>
    <col min="519" max="519" width="6.28515625" customWidth="1"/>
    <col min="520" max="520" width="7.42578125" customWidth="1"/>
    <col min="521" max="521" width="8.28515625" customWidth="1"/>
    <col min="522" max="522" width="7.7109375" customWidth="1"/>
    <col min="523" max="523" width="6.42578125" customWidth="1"/>
    <col min="524" max="524" width="2.85546875" customWidth="1"/>
    <col min="525" max="525" width="11.28515625" customWidth="1"/>
    <col min="526" max="526" width="7.85546875" customWidth="1"/>
    <col min="527" max="527" width="7.28515625" customWidth="1"/>
    <col min="528" max="528" width="7.5703125" customWidth="1"/>
    <col min="529" max="529" width="5.7109375" customWidth="1"/>
    <col min="530" max="530" width="8.42578125" customWidth="1"/>
    <col min="531" max="531" width="7.7109375" customWidth="1"/>
    <col min="532" max="532" width="7.85546875" customWidth="1"/>
    <col min="533" max="533" width="6.28515625" customWidth="1"/>
    <col min="769" max="769" width="11.28515625" customWidth="1"/>
    <col min="770" max="770" width="11.85546875" customWidth="1"/>
    <col min="771" max="771" width="12.28515625" customWidth="1"/>
    <col min="772" max="772" width="7.85546875" customWidth="1"/>
    <col min="773" max="773" width="6.7109375" customWidth="1"/>
    <col min="774" max="774" width="8.140625" customWidth="1"/>
    <col min="775" max="775" width="6.28515625" customWidth="1"/>
    <col min="776" max="776" width="7.42578125" customWidth="1"/>
    <col min="777" max="777" width="8.28515625" customWidth="1"/>
    <col min="778" max="778" width="7.7109375" customWidth="1"/>
    <col min="779" max="779" width="6.42578125" customWidth="1"/>
    <col min="780" max="780" width="2.85546875" customWidth="1"/>
    <col min="781" max="781" width="11.28515625" customWidth="1"/>
    <col min="782" max="782" width="7.85546875" customWidth="1"/>
    <col min="783" max="783" width="7.28515625" customWidth="1"/>
    <col min="784" max="784" width="7.5703125" customWidth="1"/>
    <col min="785" max="785" width="5.7109375" customWidth="1"/>
    <col min="786" max="786" width="8.42578125" customWidth="1"/>
    <col min="787" max="787" width="7.7109375" customWidth="1"/>
    <col min="788" max="788" width="7.85546875" customWidth="1"/>
    <col min="789" max="789" width="6.28515625" customWidth="1"/>
    <col min="1025" max="1025" width="11.28515625" customWidth="1"/>
    <col min="1026" max="1026" width="11.85546875" customWidth="1"/>
    <col min="1027" max="1027" width="12.28515625" customWidth="1"/>
    <col min="1028" max="1028" width="7.85546875" customWidth="1"/>
    <col min="1029" max="1029" width="6.7109375" customWidth="1"/>
    <col min="1030" max="1030" width="8.140625" customWidth="1"/>
    <col min="1031" max="1031" width="6.28515625" customWidth="1"/>
    <col min="1032" max="1032" width="7.42578125" customWidth="1"/>
    <col min="1033" max="1033" width="8.28515625" customWidth="1"/>
    <col min="1034" max="1034" width="7.7109375" customWidth="1"/>
    <col min="1035" max="1035" width="6.42578125" customWidth="1"/>
    <col min="1036" max="1036" width="2.85546875" customWidth="1"/>
    <col min="1037" max="1037" width="11.28515625" customWidth="1"/>
    <col min="1038" max="1038" width="7.85546875" customWidth="1"/>
    <col min="1039" max="1039" width="7.28515625" customWidth="1"/>
    <col min="1040" max="1040" width="7.5703125" customWidth="1"/>
    <col min="1041" max="1041" width="5.7109375" customWidth="1"/>
    <col min="1042" max="1042" width="8.42578125" customWidth="1"/>
    <col min="1043" max="1043" width="7.7109375" customWidth="1"/>
    <col min="1044" max="1044" width="7.85546875" customWidth="1"/>
    <col min="1045" max="1045" width="6.28515625" customWidth="1"/>
    <col min="1281" max="1281" width="11.28515625" customWidth="1"/>
    <col min="1282" max="1282" width="11.85546875" customWidth="1"/>
    <col min="1283" max="1283" width="12.28515625" customWidth="1"/>
    <col min="1284" max="1284" width="7.85546875" customWidth="1"/>
    <col min="1285" max="1285" width="6.7109375" customWidth="1"/>
    <col min="1286" max="1286" width="8.140625" customWidth="1"/>
    <col min="1287" max="1287" width="6.28515625" customWidth="1"/>
    <col min="1288" max="1288" width="7.42578125" customWidth="1"/>
    <col min="1289" max="1289" width="8.28515625" customWidth="1"/>
    <col min="1290" max="1290" width="7.7109375" customWidth="1"/>
    <col min="1291" max="1291" width="6.42578125" customWidth="1"/>
    <col min="1292" max="1292" width="2.85546875" customWidth="1"/>
    <col min="1293" max="1293" width="11.28515625" customWidth="1"/>
    <col min="1294" max="1294" width="7.85546875" customWidth="1"/>
    <col min="1295" max="1295" width="7.28515625" customWidth="1"/>
    <col min="1296" max="1296" width="7.5703125" customWidth="1"/>
    <col min="1297" max="1297" width="5.7109375" customWidth="1"/>
    <col min="1298" max="1298" width="8.42578125" customWidth="1"/>
    <col min="1299" max="1299" width="7.7109375" customWidth="1"/>
    <col min="1300" max="1300" width="7.85546875" customWidth="1"/>
    <col min="1301" max="1301" width="6.28515625" customWidth="1"/>
    <col min="1537" max="1537" width="11.28515625" customWidth="1"/>
    <col min="1538" max="1538" width="11.85546875" customWidth="1"/>
    <col min="1539" max="1539" width="12.28515625" customWidth="1"/>
    <col min="1540" max="1540" width="7.85546875" customWidth="1"/>
    <col min="1541" max="1541" width="6.7109375" customWidth="1"/>
    <col min="1542" max="1542" width="8.140625" customWidth="1"/>
    <col min="1543" max="1543" width="6.28515625" customWidth="1"/>
    <col min="1544" max="1544" width="7.42578125" customWidth="1"/>
    <col min="1545" max="1545" width="8.28515625" customWidth="1"/>
    <col min="1546" max="1546" width="7.7109375" customWidth="1"/>
    <col min="1547" max="1547" width="6.42578125" customWidth="1"/>
    <col min="1548" max="1548" width="2.85546875" customWidth="1"/>
    <col min="1549" max="1549" width="11.28515625" customWidth="1"/>
    <col min="1550" max="1550" width="7.85546875" customWidth="1"/>
    <col min="1551" max="1551" width="7.28515625" customWidth="1"/>
    <col min="1552" max="1552" width="7.5703125" customWidth="1"/>
    <col min="1553" max="1553" width="5.7109375" customWidth="1"/>
    <col min="1554" max="1554" width="8.42578125" customWidth="1"/>
    <col min="1555" max="1555" width="7.7109375" customWidth="1"/>
    <col min="1556" max="1556" width="7.85546875" customWidth="1"/>
    <col min="1557" max="1557" width="6.28515625" customWidth="1"/>
    <col min="1793" max="1793" width="11.28515625" customWidth="1"/>
    <col min="1794" max="1794" width="11.85546875" customWidth="1"/>
    <col min="1795" max="1795" width="12.28515625" customWidth="1"/>
    <col min="1796" max="1796" width="7.85546875" customWidth="1"/>
    <col min="1797" max="1797" width="6.7109375" customWidth="1"/>
    <col min="1798" max="1798" width="8.140625" customWidth="1"/>
    <col min="1799" max="1799" width="6.28515625" customWidth="1"/>
    <col min="1800" max="1800" width="7.42578125" customWidth="1"/>
    <col min="1801" max="1801" width="8.28515625" customWidth="1"/>
    <col min="1802" max="1802" width="7.7109375" customWidth="1"/>
    <col min="1803" max="1803" width="6.42578125" customWidth="1"/>
    <col min="1804" max="1804" width="2.85546875" customWidth="1"/>
    <col min="1805" max="1805" width="11.28515625" customWidth="1"/>
    <col min="1806" max="1806" width="7.85546875" customWidth="1"/>
    <col min="1807" max="1807" width="7.28515625" customWidth="1"/>
    <col min="1808" max="1808" width="7.5703125" customWidth="1"/>
    <col min="1809" max="1809" width="5.7109375" customWidth="1"/>
    <col min="1810" max="1810" width="8.42578125" customWidth="1"/>
    <col min="1811" max="1811" width="7.7109375" customWidth="1"/>
    <col min="1812" max="1812" width="7.85546875" customWidth="1"/>
    <col min="1813" max="1813" width="6.28515625" customWidth="1"/>
    <col min="2049" max="2049" width="11.28515625" customWidth="1"/>
    <col min="2050" max="2050" width="11.85546875" customWidth="1"/>
    <col min="2051" max="2051" width="12.28515625" customWidth="1"/>
    <col min="2052" max="2052" width="7.85546875" customWidth="1"/>
    <col min="2053" max="2053" width="6.7109375" customWidth="1"/>
    <col min="2054" max="2054" width="8.140625" customWidth="1"/>
    <col min="2055" max="2055" width="6.28515625" customWidth="1"/>
    <col min="2056" max="2056" width="7.42578125" customWidth="1"/>
    <col min="2057" max="2057" width="8.28515625" customWidth="1"/>
    <col min="2058" max="2058" width="7.7109375" customWidth="1"/>
    <col min="2059" max="2059" width="6.42578125" customWidth="1"/>
    <col min="2060" max="2060" width="2.85546875" customWidth="1"/>
    <col min="2061" max="2061" width="11.28515625" customWidth="1"/>
    <col min="2062" max="2062" width="7.85546875" customWidth="1"/>
    <col min="2063" max="2063" width="7.28515625" customWidth="1"/>
    <col min="2064" max="2064" width="7.5703125" customWidth="1"/>
    <col min="2065" max="2065" width="5.7109375" customWidth="1"/>
    <col min="2066" max="2066" width="8.42578125" customWidth="1"/>
    <col min="2067" max="2067" width="7.7109375" customWidth="1"/>
    <col min="2068" max="2068" width="7.85546875" customWidth="1"/>
    <col min="2069" max="2069" width="6.28515625" customWidth="1"/>
    <col min="2305" max="2305" width="11.28515625" customWidth="1"/>
    <col min="2306" max="2306" width="11.85546875" customWidth="1"/>
    <col min="2307" max="2307" width="12.28515625" customWidth="1"/>
    <col min="2308" max="2308" width="7.85546875" customWidth="1"/>
    <col min="2309" max="2309" width="6.7109375" customWidth="1"/>
    <col min="2310" max="2310" width="8.140625" customWidth="1"/>
    <col min="2311" max="2311" width="6.28515625" customWidth="1"/>
    <col min="2312" max="2312" width="7.42578125" customWidth="1"/>
    <col min="2313" max="2313" width="8.28515625" customWidth="1"/>
    <col min="2314" max="2314" width="7.7109375" customWidth="1"/>
    <col min="2315" max="2315" width="6.42578125" customWidth="1"/>
    <col min="2316" max="2316" width="2.85546875" customWidth="1"/>
    <col min="2317" max="2317" width="11.28515625" customWidth="1"/>
    <col min="2318" max="2318" width="7.85546875" customWidth="1"/>
    <col min="2319" max="2319" width="7.28515625" customWidth="1"/>
    <col min="2320" max="2320" width="7.5703125" customWidth="1"/>
    <col min="2321" max="2321" width="5.7109375" customWidth="1"/>
    <col min="2322" max="2322" width="8.42578125" customWidth="1"/>
    <col min="2323" max="2323" width="7.7109375" customWidth="1"/>
    <col min="2324" max="2324" width="7.85546875" customWidth="1"/>
    <col min="2325" max="2325" width="6.28515625" customWidth="1"/>
    <col min="2561" max="2561" width="11.28515625" customWidth="1"/>
    <col min="2562" max="2562" width="11.85546875" customWidth="1"/>
    <col min="2563" max="2563" width="12.28515625" customWidth="1"/>
    <col min="2564" max="2564" width="7.85546875" customWidth="1"/>
    <col min="2565" max="2565" width="6.7109375" customWidth="1"/>
    <col min="2566" max="2566" width="8.140625" customWidth="1"/>
    <col min="2567" max="2567" width="6.28515625" customWidth="1"/>
    <col min="2568" max="2568" width="7.42578125" customWidth="1"/>
    <col min="2569" max="2569" width="8.28515625" customWidth="1"/>
    <col min="2570" max="2570" width="7.7109375" customWidth="1"/>
    <col min="2571" max="2571" width="6.42578125" customWidth="1"/>
    <col min="2572" max="2572" width="2.85546875" customWidth="1"/>
    <col min="2573" max="2573" width="11.28515625" customWidth="1"/>
    <col min="2574" max="2574" width="7.85546875" customWidth="1"/>
    <col min="2575" max="2575" width="7.28515625" customWidth="1"/>
    <col min="2576" max="2576" width="7.5703125" customWidth="1"/>
    <col min="2577" max="2577" width="5.7109375" customWidth="1"/>
    <col min="2578" max="2578" width="8.42578125" customWidth="1"/>
    <col min="2579" max="2579" width="7.7109375" customWidth="1"/>
    <col min="2580" max="2580" width="7.85546875" customWidth="1"/>
    <col min="2581" max="2581" width="6.28515625" customWidth="1"/>
    <col min="2817" max="2817" width="11.28515625" customWidth="1"/>
    <col min="2818" max="2818" width="11.85546875" customWidth="1"/>
    <col min="2819" max="2819" width="12.28515625" customWidth="1"/>
    <col min="2820" max="2820" width="7.85546875" customWidth="1"/>
    <col min="2821" max="2821" width="6.7109375" customWidth="1"/>
    <col min="2822" max="2822" width="8.140625" customWidth="1"/>
    <col min="2823" max="2823" width="6.28515625" customWidth="1"/>
    <col min="2824" max="2824" width="7.42578125" customWidth="1"/>
    <col min="2825" max="2825" width="8.28515625" customWidth="1"/>
    <col min="2826" max="2826" width="7.7109375" customWidth="1"/>
    <col min="2827" max="2827" width="6.42578125" customWidth="1"/>
    <col min="2828" max="2828" width="2.85546875" customWidth="1"/>
    <col min="2829" max="2829" width="11.28515625" customWidth="1"/>
    <col min="2830" max="2830" width="7.85546875" customWidth="1"/>
    <col min="2831" max="2831" width="7.28515625" customWidth="1"/>
    <col min="2832" max="2832" width="7.5703125" customWidth="1"/>
    <col min="2833" max="2833" width="5.7109375" customWidth="1"/>
    <col min="2834" max="2834" width="8.42578125" customWidth="1"/>
    <col min="2835" max="2835" width="7.7109375" customWidth="1"/>
    <col min="2836" max="2836" width="7.85546875" customWidth="1"/>
    <col min="2837" max="2837" width="6.28515625" customWidth="1"/>
    <col min="3073" max="3073" width="11.28515625" customWidth="1"/>
    <col min="3074" max="3074" width="11.85546875" customWidth="1"/>
    <col min="3075" max="3075" width="12.28515625" customWidth="1"/>
    <col min="3076" max="3076" width="7.85546875" customWidth="1"/>
    <col min="3077" max="3077" width="6.7109375" customWidth="1"/>
    <col min="3078" max="3078" width="8.140625" customWidth="1"/>
    <col min="3079" max="3079" width="6.28515625" customWidth="1"/>
    <col min="3080" max="3080" width="7.42578125" customWidth="1"/>
    <col min="3081" max="3081" width="8.28515625" customWidth="1"/>
    <col min="3082" max="3082" width="7.7109375" customWidth="1"/>
    <col min="3083" max="3083" width="6.42578125" customWidth="1"/>
    <col min="3084" max="3084" width="2.85546875" customWidth="1"/>
    <col min="3085" max="3085" width="11.28515625" customWidth="1"/>
    <col min="3086" max="3086" width="7.85546875" customWidth="1"/>
    <col min="3087" max="3087" width="7.28515625" customWidth="1"/>
    <col min="3088" max="3088" width="7.5703125" customWidth="1"/>
    <col min="3089" max="3089" width="5.7109375" customWidth="1"/>
    <col min="3090" max="3090" width="8.42578125" customWidth="1"/>
    <col min="3091" max="3091" width="7.7109375" customWidth="1"/>
    <col min="3092" max="3092" width="7.85546875" customWidth="1"/>
    <col min="3093" max="3093" width="6.28515625" customWidth="1"/>
    <col min="3329" max="3329" width="11.28515625" customWidth="1"/>
    <col min="3330" max="3330" width="11.85546875" customWidth="1"/>
    <col min="3331" max="3331" width="12.28515625" customWidth="1"/>
    <col min="3332" max="3332" width="7.85546875" customWidth="1"/>
    <col min="3333" max="3333" width="6.7109375" customWidth="1"/>
    <col min="3334" max="3334" width="8.140625" customWidth="1"/>
    <col min="3335" max="3335" width="6.28515625" customWidth="1"/>
    <col min="3336" max="3336" width="7.42578125" customWidth="1"/>
    <col min="3337" max="3337" width="8.28515625" customWidth="1"/>
    <col min="3338" max="3338" width="7.7109375" customWidth="1"/>
    <col min="3339" max="3339" width="6.42578125" customWidth="1"/>
    <col min="3340" max="3340" width="2.85546875" customWidth="1"/>
    <col min="3341" max="3341" width="11.28515625" customWidth="1"/>
    <col min="3342" max="3342" width="7.85546875" customWidth="1"/>
    <col min="3343" max="3343" width="7.28515625" customWidth="1"/>
    <col min="3344" max="3344" width="7.5703125" customWidth="1"/>
    <col min="3345" max="3345" width="5.7109375" customWidth="1"/>
    <col min="3346" max="3346" width="8.42578125" customWidth="1"/>
    <col min="3347" max="3347" width="7.7109375" customWidth="1"/>
    <col min="3348" max="3348" width="7.85546875" customWidth="1"/>
    <col min="3349" max="3349" width="6.28515625" customWidth="1"/>
    <col min="3585" max="3585" width="11.28515625" customWidth="1"/>
    <col min="3586" max="3586" width="11.85546875" customWidth="1"/>
    <col min="3587" max="3587" width="12.28515625" customWidth="1"/>
    <col min="3588" max="3588" width="7.85546875" customWidth="1"/>
    <col min="3589" max="3589" width="6.7109375" customWidth="1"/>
    <col min="3590" max="3590" width="8.140625" customWidth="1"/>
    <col min="3591" max="3591" width="6.28515625" customWidth="1"/>
    <col min="3592" max="3592" width="7.42578125" customWidth="1"/>
    <col min="3593" max="3593" width="8.28515625" customWidth="1"/>
    <col min="3594" max="3594" width="7.7109375" customWidth="1"/>
    <col min="3595" max="3595" width="6.42578125" customWidth="1"/>
    <col min="3596" max="3596" width="2.85546875" customWidth="1"/>
    <col min="3597" max="3597" width="11.28515625" customWidth="1"/>
    <col min="3598" max="3598" width="7.85546875" customWidth="1"/>
    <col min="3599" max="3599" width="7.28515625" customWidth="1"/>
    <col min="3600" max="3600" width="7.5703125" customWidth="1"/>
    <col min="3601" max="3601" width="5.7109375" customWidth="1"/>
    <col min="3602" max="3602" width="8.42578125" customWidth="1"/>
    <col min="3603" max="3603" width="7.7109375" customWidth="1"/>
    <col min="3604" max="3604" width="7.85546875" customWidth="1"/>
    <col min="3605" max="3605" width="6.28515625" customWidth="1"/>
    <col min="3841" max="3841" width="11.28515625" customWidth="1"/>
    <col min="3842" max="3842" width="11.85546875" customWidth="1"/>
    <col min="3843" max="3843" width="12.28515625" customWidth="1"/>
    <col min="3844" max="3844" width="7.85546875" customWidth="1"/>
    <col min="3845" max="3845" width="6.7109375" customWidth="1"/>
    <col min="3846" max="3846" width="8.140625" customWidth="1"/>
    <col min="3847" max="3847" width="6.28515625" customWidth="1"/>
    <col min="3848" max="3848" width="7.42578125" customWidth="1"/>
    <col min="3849" max="3849" width="8.28515625" customWidth="1"/>
    <col min="3850" max="3850" width="7.7109375" customWidth="1"/>
    <col min="3851" max="3851" width="6.42578125" customWidth="1"/>
    <col min="3852" max="3852" width="2.85546875" customWidth="1"/>
    <col min="3853" max="3853" width="11.28515625" customWidth="1"/>
    <col min="3854" max="3854" width="7.85546875" customWidth="1"/>
    <col min="3855" max="3855" width="7.28515625" customWidth="1"/>
    <col min="3856" max="3856" width="7.5703125" customWidth="1"/>
    <col min="3857" max="3857" width="5.7109375" customWidth="1"/>
    <col min="3858" max="3858" width="8.42578125" customWidth="1"/>
    <col min="3859" max="3859" width="7.7109375" customWidth="1"/>
    <col min="3860" max="3860" width="7.85546875" customWidth="1"/>
    <col min="3861" max="3861" width="6.28515625" customWidth="1"/>
    <col min="4097" max="4097" width="11.28515625" customWidth="1"/>
    <col min="4098" max="4098" width="11.85546875" customWidth="1"/>
    <col min="4099" max="4099" width="12.28515625" customWidth="1"/>
    <col min="4100" max="4100" width="7.85546875" customWidth="1"/>
    <col min="4101" max="4101" width="6.7109375" customWidth="1"/>
    <col min="4102" max="4102" width="8.140625" customWidth="1"/>
    <col min="4103" max="4103" width="6.28515625" customWidth="1"/>
    <col min="4104" max="4104" width="7.42578125" customWidth="1"/>
    <col min="4105" max="4105" width="8.28515625" customWidth="1"/>
    <col min="4106" max="4106" width="7.7109375" customWidth="1"/>
    <col min="4107" max="4107" width="6.42578125" customWidth="1"/>
    <col min="4108" max="4108" width="2.85546875" customWidth="1"/>
    <col min="4109" max="4109" width="11.28515625" customWidth="1"/>
    <col min="4110" max="4110" width="7.85546875" customWidth="1"/>
    <col min="4111" max="4111" width="7.28515625" customWidth="1"/>
    <col min="4112" max="4112" width="7.5703125" customWidth="1"/>
    <col min="4113" max="4113" width="5.7109375" customWidth="1"/>
    <col min="4114" max="4114" width="8.42578125" customWidth="1"/>
    <col min="4115" max="4115" width="7.7109375" customWidth="1"/>
    <col min="4116" max="4116" width="7.85546875" customWidth="1"/>
    <col min="4117" max="4117" width="6.28515625" customWidth="1"/>
    <col min="4353" max="4353" width="11.28515625" customWidth="1"/>
    <col min="4354" max="4354" width="11.85546875" customWidth="1"/>
    <col min="4355" max="4355" width="12.28515625" customWidth="1"/>
    <col min="4356" max="4356" width="7.85546875" customWidth="1"/>
    <col min="4357" max="4357" width="6.7109375" customWidth="1"/>
    <col min="4358" max="4358" width="8.140625" customWidth="1"/>
    <col min="4359" max="4359" width="6.28515625" customWidth="1"/>
    <col min="4360" max="4360" width="7.42578125" customWidth="1"/>
    <col min="4361" max="4361" width="8.28515625" customWidth="1"/>
    <col min="4362" max="4362" width="7.7109375" customWidth="1"/>
    <col min="4363" max="4363" width="6.42578125" customWidth="1"/>
    <col min="4364" max="4364" width="2.85546875" customWidth="1"/>
    <col min="4365" max="4365" width="11.28515625" customWidth="1"/>
    <col min="4366" max="4366" width="7.85546875" customWidth="1"/>
    <col min="4367" max="4367" width="7.28515625" customWidth="1"/>
    <col min="4368" max="4368" width="7.5703125" customWidth="1"/>
    <col min="4369" max="4369" width="5.7109375" customWidth="1"/>
    <col min="4370" max="4370" width="8.42578125" customWidth="1"/>
    <col min="4371" max="4371" width="7.7109375" customWidth="1"/>
    <col min="4372" max="4372" width="7.85546875" customWidth="1"/>
    <col min="4373" max="4373" width="6.28515625" customWidth="1"/>
    <col min="4609" max="4609" width="11.28515625" customWidth="1"/>
    <col min="4610" max="4610" width="11.85546875" customWidth="1"/>
    <col min="4611" max="4611" width="12.28515625" customWidth="1"/>
    <col min="4612" max="4612" width="7.85546875" customWidth="1"/>
    <col min="4613" max="4613" width="6.7109375" customWidth="1"/>
    <col min="4614" max="4614" width="8.140625" customWidth="1"/>
    <col min="4615" max="4615" width="6.28515625" customWidth="1"/>
    <col min="4616" max="4616" width="7.42578125" customWidth="1"/>
    <col min="4617" max="4617" width="8.28515625" customWidth="1"/>
    <col min="4618" max="4618" width="7.7109375" customWidth="1"/>
    <col min="4619" max="4619" width="6.42578125" customWidth="1"/>
    <col min="4620" max="4620" width="2.85546875" customWidth="1"/>
    <col min="4621" max="4621" width="11.28515625" customWidth="1"/>
    <col min="4622" max="4622" width="7.85546875" customWidth="1"/>
    <col min="4623" max="4623" width="7.28515625" customWidth="1"/>
    <col min="4624" max="4624" width="7.5703125" customWidth="1"/>
    <col min="4625" max="4625" width="5.7109375" customWidth="1"/>
    <col min="4626" max="4626" width="8.42578125" customWidth="1"/>
    <col min="4627" max="4627" width="7.7109375" customWidth="1"/>
    <col min="4628" max="4628" width="7.85546875" customWidth="1"/>
    <col min="4629" max="4629" width="6.28515625" customWidth="1"/>
    <col min="4865" max="4865" width="11.28515625" customWidth="1"/>
    <col min="4866" max="4866" width="11.85546875" customWidth="1"/>
    <col min="4867" max="4867" width="12.28515625" customWidth="1"/>
    <col min="4868" max="4868" width="7.85546875" customWidth="1"/>
    <col min="4869" max="4869" width="6.7109375" customWidth="1"/>
    <col min="4870" max="4870" width="8.140625" customWidth="1"/>
    <col min="4871" max="4871" width="6.28515625" customWidth="1"/>
    <col min="4872" max="4872" width="7.42578125" customWidth="1"/>
    <col min="4873" max="4873" width="8.28515625" customWidth="1"/>
    <col min="4874" max="4874" width="7.7109375" customWidth="1"/>
    <col min="4875" max="4875" width="6.42578125" customWidth="1"/>
    <col min="4876" max="4876" width="2.85546875" customWidth="1"/>
    <col min="4877" max="4877" width="11.28515625" customWidth="1"/>
    <col min="4878" max="4878" width="7.85546875" customWidth="1"/>
    <col min="4879" max="4879" width="7.28515625" customWidth="1"/>
    <col min="4880" max="4880" width="7.5703125" customWidth="1"/>
    <col min="4881" max="4881" width="5.7109375" customWidth="1"/>
    <col min="4882" max="4882" width="8.42578125" customWidth="1"/>
    <col min="4883" max="4883" width="7.7109375" customWidth="1"/>
    <col min="4884" max="4884" width="7.85546875" customWidth="1"/>
    <col min="4885" max="4885" width="6.28515625" customWidth="1"/>
    <col min="5121" max="5121" width="11.28515625" customWidth="1"/>
    <col min="5122" max="5122" width="11.85546875" customWidth="1"/>
    <col min="5123" max="5123" width="12.28515625" customWidth="1"/>
    <col min="5124" max="5124" width="7.85546875" customWidth="1"/>
    <col min="5125" max="5125" width="6.7109375" customWidth="1"/>
    <col min="5126" max="5126" width="8.140625" customWidth="1"/>
    <col min="5127" max="5127" width="6.28515625" customWidth="1"/>
    <col min="5128" max="5128" width="7.42578125" customWidth="1"/>
    <col min="5129" max="5129" width="8.28515625" customWidth="1"/>
    <col min="5130" max="5130" width="7.7109375" customWidth="1"/>
    <col min="5131" max="5131" width="6.42578125" customWidth="1"/>
    <col min="5132" max="5132" width="2.85546875" customWidth="1"/>
    <col min="5133" max="5133" width="11.28515625" customWidth="1"/>
    <col min="5134" max="5134" width="7.85546875" customWidth="1"/>
    <col min="5135" max="5135" width="7.28515625" customWidth="1"/>
    <col min="5136" max="5136" width="7.5703125" customWidth="1"/>
    <col min="5137" max="5137" width="5.7109375" customWidth="1"/>
    <col min="5138" max="5138" width="8.42578125" customWidth="1"/>
    <col min="5139" max="5139" width="7.7109375" customWidth="1"/>
    <col min="5140" max="5140" width="7.85546875" customWidth="1"/>
    <col min="5141" max="5141" width="6.28515625" customWidth="1"/>
    <col min="5377" max="5377" width="11.28515625" customWidth="1"/>
    <col min="5378" max="5378" width="11.85546875" customWidth="1"/>
    <col min="5379" max="5379" width="12.28515625" customWidth="1"/>
    <col min="5380" max="5380" width="7.85546875" customWidth="1"/>
    <col min="5381" max="5381" width="6.7109375" customWidth="1"/>
    <col min="5382" max="5382" width="8.140625" customWidth="1"/>
    <col min="5383" max="5383" width="6.28515625" customWidth="1"/>
    <col min="5384" max="5384" width="7.42578125" customWidth="1"/>
    <col min="5385" max="5385" width="8.28515625" customWidth="1"/>
    <col min="5386" max="5386" width="7.7109375" customWidth="1"/>
    <col min="5387" max="5387" width="6.42578125" customWidth="1"/>
    <col min="5388" max="5388" width="2.85546875" customWidth="1"/>
    <col min="5389" max="5389" width="11.28515625" customWidth="1"/>
    <col min="5390" max="5390" width="7.85546875" customWidth="1"/>
    <col min="5391" max="5391" width="7.28515625" customWidth="1"/>
    <col min="5392" max="5392" width="7.5703125" customWidth="1"/>
    <col min="5393" max="5393" width="5.7109375" customWidth="1"/>
    <col min="5394" max="5394" width="8.42578125" customWidth="1"/>
    <col min="5395" max="5395" width="7.7109375" customWidth="1"/>
    <col min="5396" max="5396" width="7.85546875" customWidth="1"/>
    <col min="5397" max="5397" width="6.28515625" customWidth="1"/>
    <col min="5633" max="5633" width="11.28515625" customWidth="1"/>
    <col min="5634" max="5634" width="11.85546875" customWidth="1"/>
    <col min="5635" max="5635" width="12.28515625" customWidth="1"/>
    <col min="5636" max="5636" width="7.85546875" customWidth="1"/>
    <col min="5637" max="5637" width="6.7109375" customWidth="1"/>
    <col min="5638" max="5638" width="8.140625" customWidth="1"/>
    <col min="5639" max="5639" width="6.28515625" customWidth="1"/>
    <col min="5640" max="5640" width="7.42578125" customWidth="1"/>
    <col min="5641" max="5641" width="8.28515625" customWidth="1"/>
    <col min="5642" max="5642" width="7.7109375" customWidth="1"/>
    <col min="5643" max="5643" width="6.42578125" customWidth="1"/>
    <col min="5644" max="5644" width="2.85546875" customWidth="1"/>
    <col min="5645" max="5645" width="11.28515625" customWidth="1"/>
    <col min="5646" max="5646" width="7.85546875" customWidth="1"/>
    <col min="5647" max="5647" width="7.28515625" customWidth="1"/>
    <col min="5648" max="5648" width="7.5703125" customWidth="1"/>
    <col min="5649" max="5649" width="5.7109375" customWidth="1"/>
    <col min="5650" max="5650" width="8.42578125" customWidth="1"/>
    <col min="5651" max="5651" width="7.7109375" customWidth="1"/>
    <col min="5652" max="5652" width="7.85546875" customWidth="1"/>
    <col min="5653" max="5653" width="6.28515625" customWidth="1"/>
    <col min="5889" max="5889" width="11.28515625" customWidth="1"/>
    <col min="5890" max="5890" width="11.85546875" customWidth="1"/>
    <col min="5891" max="5891" width="12.28515625" customWidth="1"/>
    <col min="5892" max="5892" width="7.85546875" customWidth="1"/>
    <col min="5893" max="5893" width="6.7109375" customWidth="1"/>
    <col min="5894" max="5894" width="8.140625" customWidth="1"/>
    <col min="5895" max="5895" width="6.28515625" customWidth="1"/>
    <col min="5896" max="5896" width="7.42578125" customWidth="1"/>
    <col min="5897" max="5897" width="8.28515625" customWidth="1"/>
    <col min="5898" max="5898" width="7.7109375" customWidth="1"/>
    <col min="5899" max="5899" width="6.42578125" customWidth="1"/>
    <col min="5900" max="5900" width="2.85546875" customWidth="1"/>
    <col min="5901" max="5901" width="11.28515625" customWidth="1"/>
    <col min="5902" max="5902" width="7.85546875" customWidth="1"/>
    <col min="5903" max="5903" width="7.28515625" customWidth="1"/>
    <col min="5904" max="5904" width="7.5703125" customWidth="1"/>
    <col min="5905" max="5905" width="5.7109375" customWidth="1"/>
    <col min="5906" max="5906" width="8.42578125" customWidth="1"/>
    <col min="5907" max="5907" width="7.7109375" customWidth="1"/>
    <col min="5908" max="5908" width="7.85546875" customWidth="1"/>
    <col min="5909" max="5909" width="6.28515625" customWidth="1"/>
    <col min="6145" max="6145" width="11.28515625" customWidth="1"/>
    <col min="6146" max="6146" width="11.85546875" customWidth="1"/>
    <col min="6147" max="6147" width="12.28515625" customWidth="1"/>
    <col min="6148" max="6148" width="7.85546875" customWidth="1"/>
    <col min="6149" max="6149" width="6.7109375" customWidth="1"/>
    <col min="6150" max="6150" width="8.140625" customWidth="1"/>
    <col min="6151" max="6151" width="6.28515625" customWidth="1"/>
    <col min="6152" max="6152" width="7.42578125" customWidth="1"/>
    <col min="6153" max="6153" width="8.28515625" customWidth="1"/>
    <col min="6154" max="6154" width="7.7109375" customWidth="1"/>
    <col min="6155" max="6155" width="6.42578125" customWidth="1"/>
    <col min="6156" max="6156" width="2.85546875" customWidth="1"/>
    <col min="6157" max="6157" width="11.28515625" customWidth="1"/>
    <col min="6158" max="6158" width="7.85546875" customWidth="1"/>
    <col min="6159" max="6159" width="7.28515625" customWidth="1"/>
    <col min="6160" max="6160" width="7.5703125" customWidth="1"/>
    <col min="6161" max="6161" width="5.7109375" customWidth="1"/>
    <col min="6162" max="6162" width="8.42578125" customWidth="1"/>
    <col min="6163" max="6163" width="7.7109375" customWidth="1"/>
    <col min="6164" max="6164" width="7.85546875" customWidth="1"/>
    <col min="6165" max="6165" width="6.28515625" customWidth="1"/>
    <col min="6401" max="6401" width="11.28515625" customWidth="1"/>
    <col min="6402" max="6402" width="11.85546875" customWidth="1"/>
    <col min="6403" max="6403" width="12.28515625" customWidth="1"/>
    <col min="6404" max="6404" width="7.85546875" customWidth="1"/>
    <col min="6405" max="6405" width="6.7109375" customWidth="1"/>
    <col min="6406" max="6406" width="8.140625" customWidth="1"/>
    <col min="6407" max="6407" width="6.28515625" customWidth="1"/>
    <col min="6408" max="6408" width="7.42578125" customWidth="1"/>
    <col min="6409" max="6409" width="8.28515625" customWidth="1"/>
    <col min="6410" max="6410" width="7.7109375" customWidth="1"/>
    <col min="6411" max="6411" width="6.42578125" customWidth="1"/>
    <col min="6412" max="6412" width="2.85546875" customWidth="1"/>
    <col min="6413" max="6413" width="11.28515625" customWidth="1"/>
    <col min="6414" max="6414" width="7.85546875" customWidth="1"/>
    <col min="6415" max="6415" width="7.28515625" customWidth="1"/>
    <col min="6416" max="6416" width="7.5703125" customWidth="1"/>
    <col min="6417" max="6417" width="5.7109375" customWidth="1"/>
    <col min="6418" max="6418" width="8.42578125" customWidth="1"/>
    <col min="6419" max="6419" width="7.7109375" customWidth="1"/>
    <col min="6420" max="6420" width="7.85546875" customWidth="1"/>
    <col min="6421" max="6421" width="6.28515625" customWidth="1"/>
    <col min="6657" max="6657" width="11.28515625" customWidth="1"/>
    <col min="6658" max="6658" width="11.85546875" customWidth="1"/>
    <col min="6659" max="6659" width="12.28515625" customWidth="1"/>
    <col min="6660" max="6660" width="7.85546875" customWidth="1"/>
    <col min="6661" max="6661" width="6.7109375" customWidth="1"/>
    <col min="6662" max="6662" width="8.140625" customWidth="1"/>
    <col min="6663" max="6663" width="6.28515625" customWidth="1"/>
    <col min="6664" max="6664" width="7.42578125" customWidth="1"/>
    <col min="6665" max="6665" width="8.28515625" customWidth="1"/>
    <col min="6666" max="6666" width="7.7109375" customWidth="1"/>
    <col min="6667" max="6667" width="6.42578125" customWidth="1"/>
    <col min="6668" max="6668" width="2.85546875" customWidth="1"/>
    <col min="6669" max="6669" width="11.28515625" customWidth="1"/>
    <col min="6670" max="6670" width="7.85546875" customWidth="1"/>
    <col min="6671" max="6671" width="7.28515625" customWidth="1"/>
    <col min="6672" max="6672" width="7.5703125" customWidth="1"/>
    <col min="6673" max="6673" width="5.7109375" customWidth="1"/>
    <col min="6674" max="6674" width="8.42578125" customWidth="1"/>
    <col min="6675" max="6675" width="7.7109375" customWidth="1"/>
    <col min="6676" max="6676" width="7.85546875" customWidth="1"/>
    <col min="6677" max="6677" width="6.28515625" customWidth="1"/>
    <col min="6913" max="6913" width="11.28515625" customWidth="1"/>
    <col min="6914" max="6914" width="11.85546875" customWidth="1"/>
    <col min="6915" max="6915" width="12.28515625" customWidth="1"/>
    <col min="6916" max="6916" width="7.85546875" customWidth="1"/>
    <col min="6917" max="6917" width="6.7109375" customWidth="1"/>
    <col min="6918" max="6918" width="8.140625" customWidth="1"/>
    <col min="6919" max="6919" width="6.28515625" customWidth="1"/>
    <col min="6920" max="6920" width="7.42578125" customWidth="1"/>
    <col min="6921" max="6921" width="8.28515625" customWidth="1"/>
    <col min="6922" max="6922" width="7.7109375" customWidth="1"/>
    <col min="6923" max="6923" width="6.42578125" customWidth="1"/>
    <col min="6924" max="6924" width="2.85546875" customWidth="1"/>
    <col min="6925" max="6925" width="11.28515625" customWidth="1"/>
    <col min="6926" max="6926" width="7.85546875" customWidth="1"/>
    <col min="6927" max="6927" width="7.28515625" customWidth="1"/>
    <col min="6928" max="6928" width="7.5703125" customWidth="1"/>
    <col min="6929" max="6929" width="5.7109375" customWidth="1"/>
    <col min="6930" max="6930" width="8.42578125" customWidth="1"/>
    <col min="6931" max="6931" width="7.7109375" customWidth="1"/>
    <col min="6932" max="6932" width="7.85546875" customWidth="1"/>
    <col min="6933" max="6933" width="6.28515625" customWidth="1"/>
    <col min="7169" max="7169" width="11.28515625" customWidth="1"/>
    <col min="7170" max="7170" width="11.85546875" customWidth="1"/>
    <col min="7171" max="7171" width="12.28515625" customWidth="1"/>
    <col min="7172" max="7172" width="7.85546875" customWidth="1"/>
    <col min="7173" max="7173" width="6.7109375" customWidth="1"/>
    <col min="7174" max="7174" width="8.140625" customWidth="1"/>
    <col min="7175" max="7175" width="6.28515625" customWidth="1"/>
    <col min="7176" max="7176" width="7.42578125" customWidth="1"/>
    <col min="7177" max="7177" width="8.28515625" customWidth="1"/>
    <col min="7178" max="7178" width="7.7109375" customWidth="1"/>
    <col min="7179" max="7179" width="6.42578125" customWidth="1"/>
    <col min="7180" max="7180" width="2.85546875" customWidth="1"/>
    <col min="7181" max="7181" width="11.28515625" customWidth="1"/>
    <col min="7182" max="7182" width="7.85546875" customWidth="1"/>
    <col min="7183" max="7183" width="7.28515625" customWidth="1"/>
    <col min="7184" max="7184" width="7.5703125" customWidth="1"/>
    <col min="7185" max="7185" width="5.7109375" customWidth="1"/>
    <col min="7186" max="7186" width="8.42578125" customWidth="1"/>
    <col min="7187" max="7187" width="7.7109375" customWidth="1"/>
    <col min="7188" max="7188" width="7.85546875" customWidth="1"/>
    <col min="7189" max="7189" width="6.28515625" customWidth="1"/>
    <col min="7425" max="7425" width="11.28515625" customWidth="1"/>
    <col min="7426" max="7426" width="11.85546875" customWidth="1"/>
    <col min="7427" max="7427" width="12.28515625" customWidth="1"/>
    <col min="7428" max="7428" width="7.85546875" customWidth="1"/>
    <col min="7429" max="7429" width="6.7109375" customWidth="1"/>
    <col min="7430" max="7430" width="8.140625" customWidth="1"/>
    <col min="7431" max="7431" width="6.28515625" customWidth="1"/>
    <col min="7432" max="7432" width="7.42578125" customWidth="1"/>
    <col min="7433" max="7433" width="8.28515625" customWidth="1"/>
    <col min="7434" max="7434" width="7.7109375" customWidth="1"/>
    <col min="7435" max="7435" width="6.42578125" customWidth="1"/>
    <col min="7436" max="7436" width="2.85546875" customWidth="1"/>
    <col min="7437" max="7437" width="11.28515625" customWidth="1"/>
    <col min="7438" max="7438" width="7.85546875" customWidth="1"/>
    <col min="7439" max="7439" width="7.28515625" customWidth="1"/>
    <col min="7440" max="7440" width="7.5703125" customWidth="1"/>
    <col min="7441" max="7441" width="5.7109375" customWidth="1"/>
    <col min="7442" max="7442" width="8.42578125" customWidth="1"/>
    <col min="7443" max="7443" width="7.7109375" customWidth="1"/>
    <col min="7444" max="7444" width="7.85546875" customWidth="1"/>
    <col min="7445" max="7445" width="6.28515625" customWidth="1"/>
    <col min="7681" max="7681" width="11.28515625" customWidth="1"/>
    <col min="7682" max="7682" width="11.85546875" customWidth="1"/>
    <col min="7683" max="7683" width="12.28515625" customWidth="1"/>
    <col min="7684" max="7684" width="7.85546875" customWidth="1"/>
    <col min="7685" max="7685" width="6.7109375" customWidth="1"/>
    <col min="7686" max="7686" width="8.140625" customWidth="1"/>
    <col min="7687" max="7687" width="6.28515625" customWidth="1"/>
    <col min="7688" max="7688" width="7.42578125" customWidth="1"/>
    <col min="7689" max="7689" width="8.28515625" customWidth="1"/>
    <col min="7690" max="7690" width="7.7109375" customWidth="1"/>
    <col min="7691" max="7691" width="6.42578125" customWidth="1"/>
    <col min="7692" max="7692" width="2.85546875" customWidth="1"/>
    <col min="7693" max="7693" width="11.28515625" customWidth="1"/>
    <col min="7694" max="7694" width="7.85546875" customWidth="1"/>
    <col min="7695" max="7695" width="7.28515625" customWidth="1"/>
    <col min="7696" max="7696" width="7.5703125" customWidth="1"/>
    <col min="7697" max="7697" width="5.7109375" customWidth="1"/>
    <col min="7698" max="7698" width="8.42578125" customWidth="1"/>
    <col min="7699" max="7699" width="7.7109375" customWidth="1"/>
    <col min="7700" max="7700" width="7.85546875" customWidth="1"/>
    <col min="7701" max="7701" width="6.28515625" customWidth="1"/>
    <col min="7937" max="7937" width="11.28515625" customWidth="1"/>
    <col min="7938" max="7938" width="11.85546875" customWidth="1"/>
    <col min="7939" max="7939" width="12.28515625" customWidth="1"/>
    <col min="7940" max="7940" width="7.85546875" customWidth="1"/>
    <col min="7941" max="7941" width="6.7109375" customWidth="1"/>
    <col min="7942" max="7942" width="8.140625" customWidth="1"/>
    <col min="7943" max="7943" width="6.28515625" customWidth="1"/>
    <col min="7944" max="7944" width="7.42578125" customWidth="1"/>
    <col min="7945" max="7945" width="8.28515625" customWidth="1"/>
    <col min="7946" max="7946" width="7.7109375" customWidth="1"/>
    <col min="7947" max="7947" width="6.42578125" customWidth="1"/>
    <col min="7948" max="7948" width="2.85546875" customWidth="1"/>
    <col min="7949" max="7949" width="11.28515625" customWidth="1"/>
    <col min="7950" max="7950" width="7.85546875" customWidth="1"/>
    <col min="7951" max="7951" width="7.28515625" customWidth="1"/>
    <col min="7952" max="7952" width="7.5703125" customWidth="1"/>
    <col min="7953" max="7953" width="5.7109375" customWidth="1"/>
    <col min="7954" max="7954" width="8.42578125" customWidth="1"/>
    <col min="7955" max="7955" width="7.7109375" customWidth="1"/>
    <col min="7956" max="7956" width="7.85546875" customWidth="1"/>
    <col min="7957" max="7957" width="6.28515625" customWidth="1"/>
    <col min="8193" max="8193" width="11.28515625" customWidth="1"/>
    <col min="8194" max="8194" width="11.85546875" customWidth="1"/>
    <col min="8195" max="8195" width="12.28515625" customWidth="1"/>
    <col min="8196" max="8196" width="7.85546875" customWidth="1"/>
    <col min="8197" max="8197" width="6.7109375" customWidth="1"/>
    <col min="8198" max="8198" width="8.140625" customWidth="1"/>
    <col min="8199" max="8199" width="6.28515625" customWidth="1"/>
    <col min="8200" max="8200" width="7.42578125" customWidth="1"/>
    <col min="8201" max="8201" width="8.28515625" customWidth="1"/>
    <col min="8202" max="8202" width="7.7109375" customWidth="1"/>
    <col min="8203" max="8203" width="6.42578125" customWidth="1"/>
    <col min="8204" max="8204" width="2.85546875" customWidth="1"/>
    <col min="8205" max="8205" width="11.28515625" customWidth="1"/>
    <col min="8206" max="8206" width="7.85546875" customWidth="1"/>
    <col min="8207" max="8207" width="7.28515625" customWidth="1"/>
    <col min="8208" max="8208" width="7.5703125" customWidth="1"/>
    <col min="8209" max="8209" width="5.7109375" customWidth="1"/>
    <col min="8210" max="8210" width="8.42578125" customWidth="1"/>
    <col min="8211" max="8211" width="7.7109375" customWidth="1"/>
    <col min="8212" max="8212" width="7.85546875" customWidth="1"/>
    <col min="8213" max="8213" width="6.28515625" customWidth="1"/>
    <col min="8449" max="8449" width="11.28515625" customWidth="1"/>
    <col min="8450" max="8450" width="11.85546875" customWidth="1"/>
    <col min="8451" max="8451" width="12.28515625" customWidth="1"/>
    <col min="8452" max="8452" width="7.85546875" customWidth="1"/>
    <col min="8453" max="8453" width="6.7109375" customWidth="1"/>
    <col min="8454" max="8454" width="8.140625" customWidth="1"/>
    <col min="8455" max="8455" width="6.28515625" customWidth="1"/>
    <col min="8456" max="8456" width="7.42578125" customWidth="1"/>
    <col min="8457" max="8457" width="8.28515625" customWidth="1"/>
    <col min="8458" max="8458" width="7.7109375" customWidth="1"/>
    <col min="8459" max="8459" width="6.42578125" customWidth="1"/>
    <col min="8460" max="8460" width="2.85546875" customWidth="1"/>
    <col min="8461" max="8461" width="11.28515625" customWidth="1"/>
    <col min="8462" max="8462" width="7.85546875" customWidth="1"/>
    <col min="8463" max="8463" width="7.28515625" customWidth="1"/>
    <col min="8464" max="8464" width="7.5703125" customWidth="1"/>
    <col min="8465" max="8465" width="5.7109375" customWidth="1"/>
    <col min="8466" max="8466" width="8.42578125" customWidth="1"/>
    <col min="8467" max="8467" width="7.7109375" customWidth="1"/>
    <col min="8468" max="8468" width="7.85546875" customWidth="1"/>
    <col min="8469" max="8469" width="6.28515625" customWidth="1"/>
    <col min="8705" max="8705" width="11.28515625" customWidth="1"/>
    <col min="8706" max="8706" width="11.85546875" customWidth="1"/>
    <col min="8707" max="8707" width="12.28515625" customWidth="1"/>
    <col min="8708" max="8708" width="7.85546875" customWidth="1"/>
    <col min="8709" max="8709" width="6.7109375" customWidth="1"/>
    <col min="8710" max="8710" width="8.140625" customWidth="1"/>
    <col min="8711" max="8711" width="6.28515625" customWidth="1"/>
    <col min="8712" max="8712" width="7.42578125" customWidth="1"/>
    <col min="8713" max="8713" width="8.28515625" customWidth="1"/>
    <col min="8714" max="8714" width="7.7109375" customWidth="1"/>
    <col min="8715" max="8715" width="6.42578125" customWidth="1"/>
    <col min="8716" max="8716" width="2.85546875" customWidth="1"/>
    <col min="8717" max="8717" width="11.28515625" customWidth="1"/>
    <col min="8718" max="8718" width="7.85546875" customWidth="1"/>
    <col min="8719" max="8719" width="7.28515625" customWidth="1"/>
    <col min="8720" max="8720" width="7.5703125" customWidth="1"/>
    <col min="8721" max="8721" width="5.7109375" customWidth="1"/>
    <col min="8722" max="8722" width="8.42578125" customWidth="1"/>
    <col min="8723" max="8723" width="7.7109375" customWidth="1"/>
    <col min="8724" max="8724" width="7.85546875" customWidth="1"/>
    <col min="8725" max="8725" width="6.28515625" customWidth="1"/>
    <col min="8961" max="8961" width="11.28515625" customWidth="1"/>
    <col min="8962" max="8962" width="11.85546875" customWidth="1"/>
    <col min="8963" max="8963" width="12.28515625" customWidth="1"/>
    <col min="8964" max="8964" width="7.85546875" customWidth="1"/>
    <col min="8965" max="8965" width="6.7109375" customWidth="1"/>
    <col min="8966" max="8966" width="8.140625" customWidth="1"/>
    <col min="8967" max="8967" width="6.28515625" customWidth="1"/>
    <col min="8968" max="8968" width="7.42578125" customWidth="1"/>
    <col min="8969" max="8969" width="8.28515625" customWidth="1"/>
    <col min="8970" max="8970" width="7.7109375" customWidth="1"/>
    <col min="8971" max="8971" width="6.42578125" customWidth="1"/>
    <col min="8972" max="8972" width="2.85546875" customWidth="1"/>
    <col min="8973" max="8973" width="11.28515625" customWidth="1"/>
    <col min="8974" max="8974" width="7.85546875" customWidth="1"/>
    <col min="8975" max="8975" width="7.28515625" customWidth="1"/>
    <col min="8976" max="8976" width="7.5703125" customWidth="1"/>
    <col min="8977" max="8977" width="5.7109375" customWidth="1"/>
    <col min="8978" max="8978" width="8.42578125" customWidth="1"/>
    <col min="8979" max="8979" width="7.7109375" customWidth="1"/>
    <col min="8980" max="8980" width="7.85546875" customWidth="1"/>
    <col min="8981" max="8981" width="6.28515625" customWidth="1"/>
    <col min="9217" max="9217" width="11.28515625" customWidth="1"/>
    <col min="9218" max="9218" width="11.85546875" customWidth="1"/>
    <col min="9219" max="9219" width="12.28515625" customWidth="1"/>
    <col min="9220" max="9220" width="7.85546875" customWidth="1"/>
    <col min="9221" max="9221" width="6.7109375" customWidth="1"/>
    <col min="9222" max="9222" width="8.140625" customWidth="1"/>
    <col min="9223" max="9223" width="6.28515625" customWidth="1"/>
    <col min="9224" max="9224" width="7.42578125" customWidth="1"/>
    <col min="9225" max="9225" width="8.28515625" customWidth="1"/>
    <col min="9226" max="9226" width="7.7109375" customWidth="1"/>
    <col min="9227" max="9227" width="6.42578125" customWidth="1"/>
    <col min="9228" max="9228" width="2.85546875" customWidth="1"/>
    <col min="9229" max="9229" width="11.28515625" customWidth="1"/>
    <col min="9230" max="9230" width="7.85546875" customWidth="1"/>
    <col min="9231" max="9231" width="7.28515625" customWidth="1"/>
    <col min="9232" max="9232" width="7.5703125" customWidth="1"/>
    <col min="9233" max="9233" width="5.7109375" customWidth="1"/>
    <col min="9234" max="9234" width="8.42578125" customWidth="1"/>
    <col min="9235" max="9235" width="7.7109375" customWidth="1"/>
    <col min="9236" max="9236" width="7.85546875" customWidth="1"/>
    <col min="9237" max="9237" width="6.28515625" customWidth="1"/>
    <col min="9473" max="9473" width="11.28515625" customWidth="1"/>
    <col min="9474" max="9474" width="11.85546875" customWidth="1"/>
    <col min="9475" max="9475" width="12.28515625" customWidth="1"/>
    <col min="9476" max="9476" width="7.85546875" customWidth="1"/>
    <col min="9477" max="9477" width="6.7109375" customWidth="1"/>
    <col min="9478" max="9478" width="8.140625" customWidth="1"/>
    <col min="9479" max="9479" width="6.28515625" customWidth="1"/>
    <col min="9480" max="9480" width="7.42578125" customWidth="1"/>
    <col min="9481" max="9481" width="8.28515625" customWidth="1"/>
    <col min="9482" max="9482" width="7.7109375" customWidth="1"/>
    <col min="9483" max="9483" width="6.42578125" customWidth="1"/>
    <col min="9484" max="9484" width="2.85546875" customWidth="1"/>
    <col min="9485" max="9485" width="11.28515625" customWidth="1"/>
    <col min="9486" max="9486" width="7.85546875" customWidth="1"/>
    <col min="9487" max="9487" width="7.28515625" customWidth="1"/>
    <col min="9488" max="9488" width="7.5703125" customWidth="1"/>
    <col min="9489" max="9489" width="5.7109375" customWidth="1"/>
    <col min="9490" max="9490" width="8.42578125" customWidth="1"/>
    <col min="9491" max="9491" width="7.7109375" customWidth="1"/>
    <col min="9492" max="9492" width="7.85546875" customWidth="1"/>
    <col min="9493" max="9493" width="6.28515625" customWidth="1"/>
    <col min="9729" max="9729" width="11.28515625" customWidth="1"/>
    <col min="9730" max="9730" width="11.85546875" customWidth="1"/>
    <col min="9731" max="9731" width="12.28515625" customWidth="1"/>
    <col min="9732" max="9732" width="7.85546875" customWidth="1"/>
    <col min="9733" max="9733" width="6.7109375" customWidth="1"/>
    <col min="9734" max="9734" width="8.140625" customWidth="1"/>
    <col min="9735" max="9735" width="6.28515625" customWidth="1"/>
    <col min="9736" max="9736" width="7.42578125" customWidth="1"/>
    <col min="9737" max="9737" width="8.28515625" customWidth="1"/>
    <col min="9738" max="9738" width="7.7109375" customWidth="1"/>
    <col min="9739" max="9739" width="6.42578125" customWidth="1"/>
    <col min="9740" max="9740" width="2.85546875" customWidth="1"/>
    <col min="9741" max="9741" width="11.28515625" customWidth="1"/>
    <col min="9742" max="9742" width="7.85546875" customWidth="1"/>
    <col min="9743" max="9743" width="7.28515625" customWidth="1"/>
    <col min="9744" max="9744" width="7.5703125" customWidth="1"/>
    <col min="9745" max="9745" width="5.7109375" customWidth="1"/>
    <col min="9746" max="9746" width="8.42578125" customWidth="1"/>
    <col min="9747" max="9747" width="7.7109375" customWidth="1"/>
    <col min="9748" max="9748" width="7.85546875" customWidth="1"/>
    <col min="9749" max="9749" width="6.28515625" customWidth="1"/>
    <col min="9985" max="9985" width="11.28515625" customWidth="1"/>
    <col min="9986" max="9986" width="11.85546875" customWidth="1"/>
    <col min="9987" max="9987" width="12.28515625" customWidth="1"/>
    <col min="9988" max="9988" width="7.85546875" customWidth="1"/>
    <col min="9989" max="9989" width="6.7109375" customWidth="1"/>
    <col min="9990" max="9990" width="8.140625" customWidth="1"/>
    <col min="9991" max="9991" width="6.28515625" customWidth="1"/>
    <col min="9992" max="9992" width="7.42578125" customWidth="1"/>
    <col min="9993" max="9993" width="8.28515625" customWidth="1"/>
    <col min="9994" max="9994" width="7.7109375" customWidth="1"/>
    <col min="9995" max="9995" width="6.42578125" customWidth="1"/>
    <col min="9996" max="9996" width="2.85546875" customWidth="1"/>
    <col min="9997" max="9997" width="11.28515625" customWidth="1"/>
    <col min="9998" max="9998" width="7.85546875" customWidth="1"/>
    <col min="9999" max="9999" width="7.28515625" customWidth="1"/>
    <col min="10000" max="10000" width="7.5703125" customWidth="1"/>
    <col min="10001" max="10001" width="5.7109375" customWidth="1"/>
    <col min="10002" max="10002" width="8.42578125" customWidth="1"/>
    <col min="10003" max="10003" width="7.7109375" customWidth="1"/>
    <col min="10004" max="10004" width="7.85546875" customWidth="1"/>
    <col min="10005" max="10005" width="6.28515625" customWidth="1"/>
    <col min="10241" max="10241" width="11.28515625" customWidth="1"/>
    <col min="10242" max="10242" width="11.85546875" customWidth="1"/>
    <col min="10243" max="10243" width="12.28515625" customWidth="1"/>
    <col min="10244" max="10244" width="7.85546875" customWidth="1"/>
    <col min="10245" max="10245" width="6.7109375" customWidth="1"/>
    <col min="10246" max="10246" width="8.140625" customWidth="1"/>
    <col min="10247" max="10247" width="6.28515625" customWidth="1"/>
    <col min="10248" max="10248" width="7.42578125" customWidth="1"/>
    <col min="10249" max="10249" width="8.28515625" customWidth="1"/>
    <col min="10250" max="10250" width="7.7109375" customWidth="1"/>
    <col min="10251" max="10251" width="6.42578125" customWidth="1"/>
    <col min="10252" max="10252" width="2.85546875" customWidth="1"/>
    <col min="10253" max="10253" width="11.28515625" customWidth="1"/>
    <col min="10254" max="10254" width="7.85546875" customWidth="1"/>
    <col min="10255" max="10255" width="7.28515625" customWidth="1"/>
    <col min="10256" max="10256" width="7.5703125" customWidth="1"/>
    <col min="10257" max="10257" width="5.7109375" customWidth="1"/>
    <col min="10258" max="10258" width="8.42578125" customWidth="1"/>
    <col min="10259" max="10259" width="7.7109375" customWidth="1"/>
    <col min="10260" max="10260" width="7.85546875" customWidth="1"/>
    <col min="10261" max="10261" width="6.28515625" customWidth="1"/>
    <col min="10497" max="10497" width="11.28515625" customWidth="1"/>
    <col min="10498" max="10498" width="11.85546875" customWidth="1"/>
    <col min="10499" max="10499" width="12.28515625" customWidth="1"/>
    <col min="10500" max="10500" width="7.85546875" customWidth="1"/>
    <col min="10501" max="10501" width="6.7109375" customWidth="1"/>
    <col min="10502" max="10502" width="8.140625" customWidth="1"/>
    <col min="10503" max="10503" width="6.28515625" customWidth="1"/>
    <col min="10504" max="10504" width="7.42578125" customWidth="1"/>
    <col min="10505" max="10505" width="8.28515625" customWidth="1"/>
    <col min="10506" max="10506" width="7.7109375" customWidth="1"/>
    <col min="10507" max="10507" width="6.42578125" customWidth="1"/>
    <col min="10508" max="10508" width="2.85546875" customWidth="1"/>
    <col min="10509" max="10509" width="11.28515625" customWidth="1"/>
    <col min="10510" max="10510" width="7.85546875" customWidth="1"/>
    <col min="10511" max="10511" width="7.28515625" customWidth="1"/>
    <col min="10512" max="10512" width="7.5703125" customWidth="1"/>
    <col min="10513" max="10513" width="5.7109375" customWidth="1"/>
    <col min="10514" max="10514" width="8.42578125" customWidth="1"/>
    <col min="10515" max="10515" width="7.7109375" customWidth="1"/>
    <col min="10516" max="10516" width="7.85546875" customWidth="1"/>
    <col min="10517" max="10517" width="6.28515625" customWidth="1"/>
    <col min="10753" max="10753" width="11.28515625" customWidth="1"/>
    <col min="10754" max="10754" width="11.85546875" customWidth="1"/>
    <col min="10755" max="10755" width="12.28515625" customWidth="1"/>
    <col min="10756" max="10756" width="7.85546875" customWidth="1"/>
    <col min="10757" max="10757" width="6.7109375" customWidth="1"/>
    <col min="10758" max="10758" width="8.140625" customWidth="1"/>
    <col min="10759" max="10759" width="6.28515625" customWidth="1"/>
    <col min="10760" max="10760" width="7.42578125" customWidth="1"/>
    <col min="10761" max="10761" width="8.28515625" customWidth="1"/>
    <col min="10762" max="10762" width="7.7109375" customWidth="1"/>
    <col min="10763" max="10763" width="6.42578125" customWidth="1"/>
    <col min="10764" max="10764" width="2.85546875" customWidth="1"/>
    <col min="10765" max="10765" width="11.28515625" customWidth="1"/>
    <col min="10766" max="10766" width="7.85546875" customWidth="1"/>
    <col min="10767" max="10767" width="7.28515625" customWidth="1"/>
    <col min="10768" max="10768" width="7.5703125" customWidth="1"/>
    <col min="10769" max="10769" width="5.7109375" customWidth="1"/>
    <col min="10770" max="10770" width="8.42578125" customWidth="1"/>
    <col min="10771" max="10771" width="7.7109375" customWidth="1"/>
    <col min="10772" max="10772" width="7.85546875" customWidth="1"/>
    <col min="10773" max="10773" width="6.28515625" customWidth="1"/>
    <col min="11009" max="11009" width="11.28515625" customWidth="1"/>
    <col min="11010" max="11010" width="11.85546875" customWidth="1"/>
    <col min="11011" max="11011" width="12.28515625" customWidth="1"/>
    <col min="11012" max="11012" width="7.85546875" customWidth="1"/>
    <col min="11013" max="11013" width="6.7109375" customWidth="1"/>
    <col min="11014" max="11014" width="8.140625" customWidth="1"/>
    <col min="11015" max="11015" width="6.28515625" customWidth="1"/>
    <col min="11016" max="11016" width="7.42578125" customWidth="1"/>
    <col min="11017" max="11017" width="8.28515625" customWidth="1"/>
    <col min="11018" max="11018" width="7.7109375" customWidth="1"/>
    <col min="11019" max="11019" width="6.42578125" customWidth="1"/>
    <col min="11020" max="11020" width="2.85546875" customWidth="1"/>
    <col min="11021" max="11021" width="11.28515625" customWidth="1"/>
    <col min="11022" max="11022" width="7.85546875" customWidth="1"/>
    <col min="11023" max="11023" width="7.28515625" customWidth="1"/>
    <col min="11024" max="11024" width="7.5703125" customWidth="1"/>
    <col min="11025" max="11025" width="5.7109375" customWidth="1"/>
    <col min="11026" max="11026" width="8.42578125" customWidth="1"/>
    <col min="11027" max="11027" width="7.7109375" customWidth="1"/>
    <col min="11028" max="11028" width="7.85546875" customWidth="1"/>
    <col min="11029" max="11029" width="6.28515625" customWidth="1"/>
    <col min="11265" max="11265" width="11.28515625" customWidth="1"/>
    <col min="11266" max="11266" width="11.85546875" customWidth="1"/>
    <col min="11267" max="11267" width="12.28515625" customWidth="1"/>
    <col min="11268" max="11268" width="7.85546875" customWidth="1"/>
    <col min="11269" max="11269" width="6.7109375" customWidth="1"/>
    <col min="11270" max="11270" width="8.140625" customWidth="1"/>
    <col min="11271" max="11271" width="6.28515625" customWidth="1"/>
    <col min="11272" max="11272" width="7.42578125" customWidth="1"/>
    <col min="11273" max="11273" width="8.28515625" customWidth="1"/>
    <col min="11274" max="11274" width="7.7109375" customWidth="1"/>
    <col min="11275" max="11275" width="6.42578125" customWidth="1"/>
    <col min="11276" max="11276" width="2.85546875" customWidth="1"/>
    <col min="11277" max="11277" width="11.28515625" customWidth="1"/>
    <col min="11278" max="11278" width="7.85546875" customWidth="1"/>
    <col min="11279" max="11279" width="7.28515625" customWidth="1"/>
    <col min="11280" max="11280" width="7.5703125" customWidth="1"/>
    <col min="11281" max="11281" width="5.7109375" customWidth="1"/>
    <col min="11282" max="11282" width="8.42578125" customWidth="1"/>
    <col min="11283" max="11283" width="7.7109375" customWidth="1"/>
    <col min="11284" max="11284" width="7.85546875" customWidth="1"/>
    <col min="11285" max="11285" width="6.28515625" customWidth="1"/>
    <col min="11521" max="11521" width="11.28515625" customWidth="1"/>
    <col min="11522" max="11522" width="11.85546875" customWidth="1"/>
    <col min="11523" max="11523" width="12.28515625" customWidth="1"/>
    <col min="11524" max="11524" width="7.85546875" customWidth="1"/>
    <col min="11525" max="11525" width="6.7109375" customWidth="1"/>
    <col min="11526" max="11526" width="8.140625" customWidth="1"/>
    <col min="11527" max="11527" width="6.28515625" customWidth="1"/>
    <col min="11528" max="11528" width="7.42578125" customWidth="1"/>
    <col min="11529" max="11529" width="8.28515625" customWidth="1"/>
    <col min="11530" max="11530" width="7.7109375" customWidth="1"/>
    <col min="11531" max="11531" width="6.42578125" customWidth="1"/>
    <col min="11532" max="11532" width="2.85546875" customWidth="1"/>
    <col min="11533" max="11533" width="11.28515625" customWidth="1"/>
    <col min="11534" max="11534" width="7.85546875" customWidth="1"/>
    <col min="11535" max="11535" width="7.28515625" customWidth="1"/>
    <col min="11536" max="11536" width="7.5703125" customWidth="1"/>
    <col min="11537" max="11537" width="5.7109375" customWidth="1"/>
    <col min="11538" max="11538" width="8.42578125" customWidth="1"/>
    <col min="11539" max="11539" width="7.7109375" customWidth="1"/>
    <col min="11540" max="11540" width="7.85546875" customWidth="1"/>
    <col min="11541" max="11541" width="6.28515625" customWidth="1"/>
    <col min="11777" max="11777" width="11.28515625" customWidth="1"/>
    <col min="11778" max="11778" width="11.85546875" customWidth="1"/>
    <col min="11779" max="11779" width="12.28515625" customWidth="1"/>
    <col min="11780" max="11780" width="7.85546875" customWidth="1"/>
    <col min="11781" max="11781" width="6.7109375" customWidth="1"/>
    <col min="11782" max="11782" width="8.140625" customWidth="1"/>
    <col min="11783" max="11783" width="6.28515625" customWidth="1"/>
    <col min="11784" max="11784" width="7.42578125" customWidth="1"/>
    <col min="11785" max="11785" width="8.28515625" customWidth="1"/>
    <col min="11786" max="11786" width="7.7109375" customWidth="1"/>
    <col min="11787" max="11787" width="6.42578125" customWidth="1"/>
    <col min="11788" max="11788" width="2.85546875" customWidth="1"/>
    <col min="11789" max="11789" width="11.28515625" customWidth="1"/>
    <col min="11790" max="11790" width="7.85546875" customWidth="1"/>
    <col min="11791" max="11791" width="7.28515625" customWidth="1"/>
    <col min="11792" max="11792" width="7.5703125" customWidth="1"/>
    <col min="11793" max="11793" width="5.7109375" customWidth="1"/>
    <col min="11794" max="11794" width="8.42578125" customWidth="1"/>
    <col min="11795" max="11795" width="7.7109375" customWidth="1"/>
    <col min="11796" max="11796" width="7.85546875" customWidth="1"/>
    <col min="11797" max="11797" width="6.28515625" customWidth="1"/>
    <col min="12033" max="12033" width="11.28515625" customWidth="1"/>
    <col min="12034" max="12034" width="11.85546875" customWidth="1"/>
    <col min="12035" max="12035" width="12.28515625" customWidth="1"/>
    <col min="12036" max="12036" width="7.85546875" customWidth="1"/>
    <col min="12037" max="12037" width="6.7109375" customWidth="1"/>
    <col min="12038" max="12038" width="8.140625" customWidth="1"/>
    <col min="12039" max="12039" width="6.28515625" customWidth="1"/>
    <col min="12040" max="12040" width="7.42578125" customWidth="1"/>
    <col min="12041" max="12041" width="8.28515625" customWidth="1"/>
    <col min="12042" max="12042" width="7.7109375" customWidth="1"/>
    <col min="12043" max="12043" width="6.42578125" customWidth="1"/>
    <col min="12044" max="12044" width="2.85546875" customWidth="1"/>
    <col min="12045" max="12045" width="11.28515625" customWidth="1"/>
    <col min="12046" max="12046" width="7.85546875" customWidth="1"/>
    <col min="12047" max="12047" width="7.28515625" customWidth="1"/>
    <col min="12048" max="12048" width="7.5703125" customWidth="1"/>
    <col min="12049" max="12049" width="5.7109375" customWidth="1"/>
    <col min="12050" max="12050" width="8.42578125" customWidth="1"/>
    <col min="12051" max="12051" width="7.7109375" customWidth="1"/>
    <col min="12052" max="12052" width="7.85546875" customWidth="1"/>
    <col min="12053" max="12053" width="6.28515625" customWidth="1"/>
    <col min="12289" max="12289" width="11.28515625" customWidth="1"/>
    <col min="12290" max="12290" width="11.85546875" customWidth="1"/>
    <col min="12291" max="12291" width="12.28515625" customWidth="1"/>
    <col min="12292" max="12292" width="7.85546875" customWidth="1"/>
    <col min="12293" max="12293" width="6.7109375" customWidth="1"/>
    <col min="12294" max="12294" width="8.140625" customWidth="1"/>
    <col min="12295" max="12295" width="6.28515625" customWidth="1"/>
    <col min="12296" max="12296" width="7.42578125" customWidth="1"/>
    <col min="12297" max="12297" width="8.28515625" customWidth="1"/>
    <col min="12298" max="12298" width="7.7109375" customWidth="1"/>
    <col min="12299" max="12299" width="6.42578125" customWidth="1"/>
    <col min="12300" max="12300" width="2.85546875" customWidth="1"/>
    <col min="12301" max="12301" width="11.28515625" customWidth="1"/>
    <col min="12302" max="12302" width="7.85546875" customWidth="1"/>
    <col min="12303" max="12303" width="7.28515625" customWidth="1"/>
    <col min="12304" max="12304" width="7.5703125" customWidth="1"/>
    <col min="12305" max="12305" width="5.7109375" customWidth="1"/>
    <col min="12306" max="12306" width="8.42578125" customWidth="1"/>
    <col min="12307" max="12307" width="7.7109375" customWidth="1"/>
    <col min="12308" max="12308" width="7.85546875" customWidth="1"/>
    <col min="12309" max="12309" width="6.28515625" customWidth="1"/>
    <col min="12545" max="12545" width="11.28515625" customWidth="1"/>
    <col min="12546" max="12546" width="11.85546875" customWidth="1"/>
    <col min="12547" max="12547" width="12.28515625" customWidth="1"/>
    <col min="12548" max="12548" width="7.85546875" customWidth="1"/>
    <col min="12549" max="12549" width="6.7109375" customWidth="1"/>
    <col min="12550" max="12550" width="8.140625" customWidth="1"/>
    <col min="12551" max="12551" width="6.28515625" customWidth="1"/>
    <col min="12552" max="12552" width="7.42578125" customWidth="1"/>
    <col min="12553" max="12553" width="8.28515625" customWidth="1"/>
    <col min="12554" max="12554" width="7.7109375" customWidth="1"/>
    <col min="12555" max="12555" width="6.42578125" customWidth="1"/>
    <col min="12556" max="12556" width="2.85546875" customWidth="1"/>
    <col min="12557" max="12557" width="11.28515625" customWidth="1"/>
    <col min="12558" max="12558" width="7.85546875" customWidth="1"/>
    <col min="12559" max="12559" width="7.28515625" customWidth="1"/>
    <col min="12560" max="12560" width="7.5703125" customWidth="1"/>
    <col min="12561" max="12561" width="5.7109375" customWidth="1"/>
    <col min="12562" max="12562" width="8.42578125" customWidth="1"/>
    <col min="12563" max="12563" width="7.7109375" customWidth="1"/>
    <col min="12564" max="12564" width="7.85546875" customWidth="1"/>
    <col min="12565" max="12565" width="6.28515625" customWidth="1"/>
    <col min="12801" max="12801" width="11.28515625" customWidth="1"/>
    <col min="12802" max="12802" width="11.85546875" customWidth="1"/>
    <col min="12803" max="12803" width="12.28515625" customWidth="1"/>
    <col min="12804" max="12804" width="7.85546875" customWidth="1"/>
    <col min="12805" max="12805" width="6.7109375" customWidth="1"/>
    <col min="12806" max="12806" width="8.140625" customWidth="1"/>
    <col min="12807" max="12807" width="6.28515625" customWidth="1"/>
    <col min="12808" max="12808" width="7.42578125" customWidth="1"/>
    <col min="12809" max="12809" width="8.28515625" customWidth="1"/>
    <col min="12810" max="12810" width="7.7109375" customWidth="1"/>
    <col min="12811" max="12811" width="6.42578125" customWidth="1"/>
    <col min="12812" max="12812" width="2.85546875" customWidth="1"/>
    <col min="12813" max="12813" width="11.28515625" customWidth="1"/>
    <col min="12814" max="12814" width="7.85546875" customWidth="1"/>
    <col min="12815" max="12815" width="7.28515625" customWidth="1"/>
    <col min="12816" max="12816" width="7.5703125" customWidth="1"/>
    <col min="12817" max="12817" width="5.7109375" customWidth="1"/>
    <col min="12818" max="12818" width="8.42578125" customWidth="1"/>
    <col min="12819" max="12819" width="7.7109375" customWidth="1"/>
    <col min="12820" max="12820" width="7.85546875" customWidth="1"/>
    <col min="12821" max="12821" width="6.28515625" customWidth="1"/>
    <col min="13057" max="13057" width="11.28515625" customWidth="1"/>
    <col min="13058" max="13058" width="11.85546875" customWidth="1"/>
    <col min="13059" max="13059" width="12.28515625" customWidth="1"/>
    <col min="13060" max="13060" width="7.85546875" customWidth="1"/>
    <col min="13061" max="13061" width="6.7109375" customWidth="1"/>
    <col min="13062" max="13062" width="8.140625" customWidth="1"/>
    <col min="13063" max="13063" width="6.28515625" customWidth="1"/>
    <col min="13064" max="13064" width="7.42578125" customWidth="1"/>
    <col min="13065" max="13065" width="8.28515625" customWidth="1"/>
    <col min="13066" max="13066" width="7.7109375" customWidth="1"/>
    <col min="13067" max="13067" width="6.42578125" customWidth="1"/>
    <col min="13068" max="13068" width="2.85546875" customWidth="1"/>
    <col min="13069" max="13069" width="11.28515625" customWidth="1"/>
    <col min="13070" max="13070" width="7.85546875" customWidth="1"/>
    <col min="13071" max="13071" width="7.28515625" customWidth="1"/>
    <col min="13072" max="13072" width="7.5703125" customWidth="1"/>
    <col min="13073" max="13073" width="5.7109375" customWidth="1"/>
    <col min="13074" max="13074" width="8.42578125" customWidth="1"/>
    <col min="13075" max="13075" width="7.7109375" customWidth="1"/>
    <col min="13076" max="13076" width="7.85546875" customWidth="1"/>
    <col min="13077" max="13077" width="6.28515625" customWidth="1"/>
    <col min="13313" max="13313" width="11.28515625" customWidth="1"/>
    <col min="13314" max="13314" width="11.85546875" customWidth="1"/>
    <col min="13315" max="13315" width="12.28515625" customWidth="1"/>
    <col min="13316" max="13316" width="7.85546875" customWidth="1"/>
    <col min="13317" max="13317" width="6.7109375" customWidth="1"/>
    <col min="13318" max="13318" width="8.140625" customWidth="1"/>
    <col min="13319" max="13319" width="6.28515625" customWidth="1"/>
    <col min="13320" max="13320" width="7.42578125" customWidth="1"/>
    <col min="13321" max="13321" width="8.28515625" customWidth="1"/>
    <col min="13322" max="13322" width="7.7109375" customWidth="1"/>
    <col min="13323" max="13323" width="6.42578125" customWidth="1"/>
    <col min="13324" max="13324" width="2.85546875" customWidth="1"/>
    <col min="13325" max="13325" width="11.28515625" customWidth="1"/>
    <col min="13326" max="13326" width="7.85546875" customWidth="1"/>
    <col min="13327" max="13327" width="7.28515625" customWidth="1"/>
    <col min="13328" max="13328" width="7.5703125" customWidth="1"/>
    <col min="13329" max="13329" width="5.7109375" customWidth="1"/>
    <col min="13330" max="13330" width="8.42578125" customWidth="1"/>
    <col min="13331" max="13331" width="7.7109375" customWidth="1"/>
    <col min="13332" max="13332" width="7.85546875" customWidth="1"/>
    <col min="13333" max="13333" width="6.28515625" customWidth="1"/>
    <col min="13569" max="13569" width="11.28515625" customWidth="1"/>
    <col min="13570" max="13570" width="11.85546875" customWidth="1"/>
    <col min="13571" max="13571" width="12.28515625" customWidth="1"/>
    <col min="13572" max="13572" width="7.85546875" customWidth="1"/>
    <col min="13573" max="13573" width="6.7109375" customWidth="1"/>
    <col min="13574" max="13574" width="8.140625" customWidth="1"/>
    <col min="13575" max="13575" width="6.28515625" customWidth="1"/>
    <col min="13576" max="13576" width="7.42578125" customWidth="1"/>
    <col min="13577" max="13577" width="8.28515625" customWidth="1"/>
    <col min="13578" max="13578" width="7.7109375" customWidth="1"/>
    <col min="13579" max="13579" width="6.42578125" customWidth="1"/>
    <col min="13580" max="13580" width="2.85546875" customWidth="1"/>
    <col min="13581" max="13581" width="11.28515625" customWidth="1"/>
    <col min="13582" max="13582" width="7.85546875" customWidth="1"/>
    <col min="13583" max="13583" width="7.28515625" customWidth="1"/>
    <col min="13584" max="13584" width="7.5703125" customWidth="1"/>
    <col min="13585" max="13585" width="5.7109375" customWidth="1"/>
    <col min="13586" max="13586" width="8.42578125" customWidth="1"/>
    <col min="13587" max="13587" width="7.7109375" customWidth="1"/>
    <col min="13588" max="13588" width="7.85546875" customWidth="1"/>
    <col min="13589" max="13589" width="6.28515625" customWidth="1"/>
    <col min="13825" max="13825" width="11.28515625" customWidth="1"/>
    <col min="13826" max="13826" width="11.85546875" customWidth="1"/>
    <col min="13827" max="13827" width="12.28515625" customWidth="1"/>
    <col min="13828" max="13828" width="7.85546875" customWidth="1"/>
    <col min="13829" max="13829" width="6.7109375" customWidth="1"/>
    <col min="13830" max="13830" width="8.140625" customWidth="1"/>
    <col min="13831" max="13831" width="6.28515625" customWidth="1"/>
    <col min="13832" max="13832" width="7.42578125" customWidth="1"/>
    <col min="13833" max="13833" width="8.28515625" customWidth="1"/>
    <col min="13834" max="13834" width="7.7109375" customWidth="1"/>
    <col min="13835" max="13835" width="6.42578125" customWidth="1"/>
    <col min="13836" max="13836" width="2.85546875" customWidth="1"/>
    <col min="13837" max="13837" width="11.28515625" customWidth="1"/>
    <col min="13838" max="13838" width="7.85546875" customWidth="1"/>
    <col min="13839" max="13839" width="7.28515625" customWidth="1"/>
    <col min="13840" max="13840" width="7.5703125" customWidth="1"/>
    <col min="13841" max="13841" width="5.7109375" customWidth="1"/>
    <col min="13842" max="13842" width="8.42578125" customWidth="1"/>
    <col min="13843" max="13843" width="7.7109375" customWidth="1"/>
    <col min="13844" max="13844" width="7.85546875" customWidth="1"/>
    <col min="13845" max="13845" width="6.28515625" customWidth="1"/>
    <col min="14081" max="14081" width="11.28515625" customWidth="1"/>
    <col min="14082" max="14082" width="11.85546875" customWidth="1"/>
    <col min="14083" max="14083" width="12.28515625" customWidth="1"/>
    <col min="14084" max="14084" width="7.85546875" customWidth="1"/>
    <col min="14085" max="14085" width="6.7109375" customWidth="1"/>
    <col min="14086" max="14086" width="8.140625" customWidth="1"/>
    <col min="14087" max="14087" width="6.28515625" customWidth="1"/>
    <col min="14088" max="14088" width="7.42578125" customWidth="1"/>
    <col min="14089" max="14089" width="8.28515625" customWidth="1"/>
    <col min="14090" max="14090" width="7.7109375" customWidth="1"/>
    <col min="14091" max="14091" width="6.42578125" customWidth="1"/>
    <col min="14092" max="14092" width="2.85546875" customWidth="1"/>
    <col min="14093" max="14093" width="11.28515625" customWidth="1"/>
    <col min="14094" max="14094" width="7.85546875" customWidth="1"/>
    <col min="14095" max="14095" width="7.28515625" customWidth="1"/>
    <col min="14096" max="14096" width="7.5703125" customWidth="1"/>
    <col min="14097" max="14097" width="5.7109375" customWidth="1"/>
    <col min="14098" max="14098" width="8.42578125" customWidth="1"/>
    <col min="14099" max="14099" width="7.7109375" customWidth="1"/>
    <col min="14100" max="14100" width="7.85546875" customWidth="1"/>
    <col min="14101" max="14101" width="6.28515625" customWidth="1"/>
    <col min="14337" max="14337" width="11.28515625" customWidth="1"/>
    <col min="14338" max="14338" width="11.85546875" customWidth="1"/>
    <col min="14339" max="14339" width="12.28515625" customWidth="1"/>
    <col min="14340" max="14340" width="7.85546875" customWidth="1"/>
    <col min="14341" max="14341" width="6.7109375" customWidth="1"/>
    <col min="14342" max="14342" width="8.140625" customWidth="1"/>
    <col min="14343" max="14343" width="6.28515625" customWidth="1"/>
    <col min="14344" max="14344" width="7.42578125" customWidth="1"/>
    <col min="14345" max="14345" width="8.28515625" customWidth="1"/>
    <col min="14346" max="14346" width="7.7109375" customWidth="1"/>
    <col min="14347" max="14347" width="6.42578125" customWidth="1"/>
    <col min="14348" max="14348" width="2.85546875" customWidth="1"/>
    <col min="14349" max="14349" width="11.28515625" customWidth="1"/>
    <col min="14350" max="14350" width="7.85546875" customWidth="1"/>
    <col min="14351" max="14351" width="7.28515625" customWidth="1"/>
    <col min="14352" max="14352" width="7.5703125" customWidth="1"/>
    <col min="14353" max="14353" width="5.7109375" customWidth="1"/>
    <col min="14354" max="14354" width="8.42578125" customWidth="1"/>
    <col min="14355" max="14355" width="7.7109375" customWidth="1"/>
    <col min="14356" max="14356" width="7.85546875" customWidth="1"/>
    <col min="14357" max="14357" width="6.28515625" customWidth="1"/>
    <col min="14593" max="14593" width="11.28515625" customWidth="1"/>
    <col min="14594" max="14594" width="11.85546875" customWidth="1"/>
    <col min="14595" max="14595" width="12.28515625" customWidth="1"/>
    <col min="14596" max="14596" width="7.85546875" customWidth="1"/>
    <col min="14597" max="14597" width="6.7109375" customWidth="1"/>
    <col min="14598" max="14598" width="8.140625" customWidth="1"/>
    <col min="14599" max="14599" width="6.28515625" customWidth="1"/>
    <col min="14600" max="14600" width="7.42578125" customWidth="1"/>
    <col min="14601" max="14601" width="8.28515625" customWidth="1"/>
    <col min="14602" max="14602" width="7.7109375" customWidth="1"/>
    <col min="14603" max="14603" width="6.42578125" customWidth="1"/>
    <col min="14604" max="14604" width="2.85546875" customWidth="1"/>
    <col min="14605" max="14605" width="11.28515625" customWidth="1"/>
    <col min="14606" max="14606" width="7.85546875" customWidth="1"/>
    <col min="14607" max="14607" width="7.28515625" customWidth="1"/>
    <col min="14608" max="14608" width="7.5703125" customWidth="1"/>
    <col min="14609" max="14609" width="5.7109375" customWidth="1"/>
    <col min="14610" max="14610" width="8.42578125" customWidth="1"/>
    <col min="14611" max="14611" width="7.7109375" customWidth="1"/>
    <col min="14612" max="14612" width="7.85546875" customWidth="1"/>
    <col min="14613" max="14613" width="6.28515625" customWidth="1"/>
    <col min="14849" max="14849" width="11.28515625" customWidth="1"/>
    <col min="14850" max="14850" width="11.85546875" customWidth="1"/>
    <col min="14851" max="14851" width="12.28515625" customWidth="1"/>
    <col min="14852" max="14852" width="7.85546875" customWidth="1"/>
    <col min="14853" max="14853" width="6.7109375" customWidth="1"/>
    <col min="14854" max="14854" width="8.140625" customWidth="1"/>
    <col min="14855" max="14855" width="6.28515625" customWidth="1"/>
    <col min="14856" max="14856" width="7.42578125" customWidth="1"/>
    <col min="14857" max="14857" width="8.28515625" customWidth="1"/>
    <col min="14858" max="14858" width="7.7109375" customWidth="1"/>
    <col min="14859" max="14859" width="6.42578125" customWidth="1"/>
    <col min="14860" max="14860" width="2.85546875" customWidth="1"/>
    <col min="14861" max="14861" width="11.28515625" customWidth="1"/>
    <col min="14862" max="14862" width="7.85546875" customWidth="1"/>
    <col min="14863" max="14863" width="7.28515625" customWidth="1"/>
    <col min="14864" max="14864" width="7.5703125" customWidth="1"/>
    <col min="14865" max="14865" width="5.7109375" customWidth="1"/>
    <col min="14866" max="14866" width="8.42578125" customWidth="1"/>
    <col min="14867" max="14867" width="7.7109375" customWidth="1"/>
    <col min="14868" max="14868" width="7.85546875" customWidth="1"/>
    <col min="14869" max="14869" width="6.28515625" customWidth="1"/>
    <col min="15105" max="15105" width="11.28515625" customWidth="1"/>
    <col min="15106" max="15106" width="11.85546875" customWidth="1"/>
    <col min="15107" max="15107" width="12.28515625" customWidth="1"/>
    <col min="15108" max="15108" width="7.85546875" customWidth="1"/>
    <col min="15109" max="15109" width="6.7109375" customWidth="1"/>
    <col min="15110" max="15110" width="8.140625" customWidth="1"/>
    <col min="15111" max="15111" width="6.28515625" customWidth="1"/>
    <col min="15112" max="15112" width="7.42578125" customWidth="1"/>
    <col min="15113" max="15113" width="8.28515625" customWidth="1"/>
    <col min="15114" max="15114" width="7.7109375" customWidth="1"/>
    <col min="15115" max="15115" width="6.42578125" customWidth="1"/>
    <col min="15116" max="15116" width="2.85546875" customWidth="1"/>
    <col min="15117" max="15117" width="11.28515625" customWidth="1"/>
    <col min="15118" max="15118" width="7.85546875" customWidth="1"/>
    <col min="15119" max="15119" width="7.28515625" customWidth="1"/>
    <col min="15120" max="15120" width="7.5703125" customWidth="1"/>
    <col min="15121" max="15121" width="5.7109375" customWidth="1"/>
    <col min="15122" max="15122" width="8.42578125" customWidth="1"/>
    <col min="15123" max="15123" width="7.7109375" customWidth="1"/>
    <col min="15124" max="15124" width="7.85546875" customWidth="1"/>
    <col min="15125" max="15125" width="6.28515625" customWidth="1"/>
    <col min="15361" max="15361" width="11.28515625" customWidth="1"/>
    <col min="15362" max="15362" width="11.85546875" customWidth="1"/>
    <col min="15363" max="15363" width="12.28515625" customWidth="1"/>
    <col min="15364" max="15364" width="7.85546875" customWidth="1"/>
    <col min="15365" max="15365" width="6.7109375" customWidth="1"/>
    <col min="15366" max="15366" width="8.140625" customWidth="1"/>
    <col min="15367" max="15367" width="6.28515625" customWidth="1"/>
    <col min="15368" max="15368" width="7.42578125" customWidth="1"/>
    <col min="15369" max="15369" width="8.28515625" customWidth="1"/>
    <col min="15370" max="15370" width="7.7109375" customWidth="1"/>
    <col min="15371" max="15371" width="6.42578125" customWidth="1"/>
    <col min="15372" max="15372" width="2.85546875" customWidth="1"/>
    <col min="15373" max="15373" width="11.28515625" customWidth="1"/>
    <col min="15374" max="15374" width="7.85546875" customWidth="1"/>
    <col min="15375" max="15375" width="7.28515625" customWidth="1"/>
    <col min="15376" max="15376" width="7.5703125" customWidth="1"/>
    <col min="15377" max="15377" width="5.7109375" customWidth="1"/>
    <col min="15378" max="15378" width="8.42578125" customWidth="1"/>
    <col min="15379" max="15379" width="7.7109375" customWidth="1"/>
    <col min="15380" max="15380" width="7.85546875" customWidth="1"/>
    <col min="15381" max="15381" width="6.28515625" customWidth="1"/>
    <col min="15617" max="15617" width="11.28515625" customWidth="1"/>
    <col min="15618" max="15618" width="11.85546875" customWidth="1"/>
    <col min="15619" max="15619" width="12.28515625" customWidth="1"/>
    <col min="15620" max="15620" width="7.85546875" customWidth="1"/>
    <col min="15621" max="15621" width="6.7109375" customWidth="1"/>
    <col min="15622" max="15622" width="8.140625" customWidth="1"/>
    <col min="15623" max="15623" width="6.28515625" customWidth="1"/>
    <col min="15624" max="15624" width="7.42578125" customWidth="1"/>
    <col min="15625" max="15625" width="8.28515625" customWidth="1"/>
    <col min="15626" max="15626" width="7.7109375" customWidth="1"/>
    <col min="15627" max="15627" width="6.42578125" customWidth="1"/>
    <col min="15628" max="15628" width="2.85546875" customWidth="1"/>
    <col min="15629" max="15629" width="11.28515625" customWidth="1"/>
    <col min="15630" max="15630" width="7.85546875" customWidth="1"/>
    <col min="15631" max="15631" width="7.28515625" customWidth="1"/>
    <col min="15632" max="15632" width="7.5703125" customWidth="1"/>
    <col min="15633" max="15633" width="5.7109375" customWidth="1"/>
    <col min="15634" max="15634" width="8.42578125" customWidth="1"/>
    <col min="15635" max="15635" width="7.7109375" customWidth="1"/>
    <col min="15636" max="15636" width="7.85546875" customWidth="1"/>
    <col min="15637" max="15637" width="6.28515625" customWidth="1"/>
    <col min="15873" max="15873" width="11.28515625" customWidth="1"/>
    <col min="15874" max="15874" width="11.85546875" customWidth="1"/>
    <col min="15875" max="15875" width="12.28515625" customWidth="1"/>
    <col min="15876" max="15876" width="7.85546875" customWidth="1"/>
    <col min="15877" max="15877" width="6.7109375" customWidth="1"/>
    <col min="15878" max="15878" width="8.140625" customWidth="1"/>
    <col min="15879" max="15879" width="6.28515625" customWidth="1"/>
    <col min="15880" max="15880" width="7.42578125" customWidth="1"/>
    <col min="15881" max="15881" width="8.28515625" customWidth="1"/>
    <col min="15882" max="15882" width="7.7109375" customWidth="1"/>
    <col min="15883" max="15883" width="6.42578125" customWidth="1"/>
    <col min="15884" max="15884" width="2.85546875" customWidth="1"/>
    <col min="15885" max="15885" width="11.28515625" customWidth="1"/>
    <col min="15886" max="15886" width="7.85546875" customWidth="1"/>
    <col min="15887" max="15887" width="7.28515625" customWidth="1"/>
    <col min="15888" max="15888" width="7.5703125" customWidth="1"/>
    <col min="15889" max="15889" width="5.7109375" customWidth="1"/>
    <col min="15890" max="15890" width="8.42578125" customWidth="1"/>
    <col min="15891" max="15891" width="7.7109375" customWidth="1"/>
    <col min="15892" max="15892" width="7.85546875" customWidth="1"/>
    <col min="15893" max="15893" width="6.28515625" customWidth="1"/>
    <col min="16129" max="16129" width="11.28515625" customWidth="1"/>
    <col min="16130" max="16130" width="11.85546875" customWidth="1"/>
    <col min="16131" max="16131" width="12.28515625" customWidth="1"/>
    <col min="16132" max="16132" width="7.85546875" customWidth="1"/>
    <col min="16133" max="16133" width="6.7109375" customWidth="1"/>
    <col min="16134" max="16134" width="8.140625" customWidth="1"/>
    <col min="16135" max="16135" width="6.28515625" customWidth="1"/>
    <col min="16136" max="16136" width="7.42578125" customWidth="1"/>
    <col min="16137" max="16137" width="8.28515625" customWidth="1"/>
    <col min="16138" max="16138" width="7.7109375" customWidth="1"/>
    <col min="16139" max="16139" width="6.42578125" customWidth="1"/>
    <col min="16140" max="16140" width="2.85546875" customWidth="1"/>
    <col min="16141" max="16141" width="11.28515625" customWidth="1"/>
    <col min="16142" max="16142" width="7.85546875" customWidth="1"/>
    <col min="16143" max="16143" width="7.28515625" customWidth="1"/>
    <col min="16144" max="16144" width="7.5703125" customWidth="1"/>
    <col min="16145" max="16145" width="5.7109375" customWidth="1"/>
    <col min="16146" max="16146" width="8.42578125" customWidth="1"/>
    <col min="16147" max="16147" width="7.7109375" customWidth="1"/>
    <col min="16148" max="16148" width="7.85546875" customWidth="1"/>
    <col min="16149" max="16149" width="6.28515625" customWidth="1"/>
  </cols>
  <sheetData>
    <row r="1" spans="1:24" x14ac:dyDescent="0.25">
      <c r="C1" s="32"/>
      <c r="D1" s="32"/>
      <c r="N1" s="33"/>
      <c r="O1" s="34"/>
    </row>
    <row r="2" spans="1:24" ht="15.75" thickBot="1" x14ac:dyDescent="0.3">
      <c r="A2" t="s">
        <v>118</v>
      </c>
      <c r="B2" s="35"/>
      <c r="C2" s="32" t="s">
        <v>119</v>
      </c>
      <c r="D2" s="32"/>
      <c r="O2" s="34"/>
    </row>
    <row r="3" spans="1:24" ht="16.5" thickBot="1" x14ac:dyDescent="0.35">
      <c r="B3" s="35"/>
      <c r="C3" s="32"/>
      <c r="D3" s="36" t="s">
        <v>120</v>
      </c>
      <c r="E3" s="32">
        <v>0.22</v>
      </c>
      <c r="F3" s="33" t="s">
        <v>109</v>
      </c>
      <c r="O3" s="257">
        <v>0.1</v>
      </c>
      <c r="P3" s="255"/>
      <c r="Q3" s="255"/>
      <c r="R3" s="255"/>
      <c r="S3" s="255"/>
      <c r="T3" s="255"/>
      <c r="U3" s="255"/>
      <c r="V3" s="255"/>
      <c r="W3" s="255"/>
      <c r="X3" s="256"/>
    </row>
    <row r="4" spans="1:24" ht="15.75" thickBot="1" x14ac:dyDescent="0.3">
      <c r="A4">
        <v>2.5</v>
      </c>
      <c r="C4" s="273"/>
      <c r="D4" s="37"/>
      <c r="E4" s="38"/>
      <c r="F4" s="37"/>
      <c r="G4" s="39"/>
      <c r="H4" s="40"/>
      <c r="I4" s="38"/>
      <c r="J4" s="37"/>
      <c r="K4" s="39"/>
      <c r="L4" s="2"/>
      <c r="O4" s="254" t="s">
        <v>132</v>
      </c>
      <c r="P4" s="255"/>
      <c r="Q4" s="255"/>
      <c r="R4" s="255"/>
      <c r="S4" s="255"/>
      <c r="T4" s="255"/>
      <c r="U4" s="255"/>
      <c r="V4" s="255"/>
      <c r="W4" s="255"/>
      <c r="X4" s="256"/>
    </row>
    <row r="5" spans="1:24" ht="15.75" thickBot="1" x14ac:dyDescent="0.3">
      <c r="A5">
        <v>0.22</v>
      </c>
      <c r="C5" s="274"/>
      <c r="D5" s="275">
        <v>230</v>
      </c>
      <c r="E5" s="275"/>
      <c r="F5" s="41" t="s">
        <v>121</v>
      </c>
      <c r="G5" s="42"/>
      <c r="H5" s="276">
        <v>400</v>
      </c>
      <c r="I5" s="275"/>
      <c r="J5" s="41" t="s">
        <v>121</v>
      </c>
      <c r="K5" s="42"/>
      <c r="L5" s="43"/>
      <c r="O5" s="6"/>
      <c r="P5" s="2"/>
      <c r="Q5" s="74" t="str">
        <f>IF(OR(P6/VLOOKUP($O6,$O$8:$P$12,2,0)-1&lt;-0.1,P6/VLOOKUP($O6,$O$8:$P$12,2,0)-1&gt;0),"",VLOOKUP($O6,$O$8:$P$12,2,0))</f>
        <v/>
      </c>
      <c r="R5" s="2"/>
      <c r="S5" s="2"/>
      <c r="T5" s="2"/>
      <c r="U5" s="2"/>
      <c r="V5" s="2"/>
      <c r="W5" s="74" t="str">
        <f>IF(OR(V6/VLOOKUP($U6,$U$8:$V$12,2,0)-1&lt;-0.1,V6/VLOOKUP($U6,$U$8:$V$12,2,0)-1&gt;0),"",VLOOKUP($U6,$U$8:$V$12,2,0))</f>
        <v/>
      </c>
      <c r="X5" s="7"/>
    </row>
    <row r="6" spans="1:24" ht="15.75" thickBot="1" x14ac:dyDescent="0.3">
      <c r="A6">
        <v>2.7E-2</v>
      </c>
      <c r="C6" s="44" t="s">
        <v>122</v>
      </c>
      <c r="D6" s="45" t="s">
        <v>123</v>
      </c>
      <c r="E6" s="46" t="s">
        <v>124</v>
      </c>
      <c r="F6" s="46" t="s">
        <v>125</v>
      </c>
      <c r="G6" s="46" t="s">
        <v>126</v>
      </c>
      <c r="H6" s="45" t="s">
        <v>123</v>
      </c>
      <c r="I6" s="46" t="s">
        <v>124</v>
      </c>
      <c r="J6" s="46" t="s">
        <v>125</v>
      </c>
      <c r="K6" s="46" t="s">
        <v>126</v>
      </c>
      <c r="L6" s="43"/>
      <c r="O6" s="80">
        <f>MIN(O8:O12)</f>
        <v>5.4529914529914542E-2</v>
      </c>
      <c r="P6" s="76">
        <f>'DEVImulti calculation'!$D$18</f>
        <v>0.16547008547008546</v>
      </c>
      <c r="Q6" s="72">
        <f>VLOOKUP($O6,$O$8:$P$12,2,0)</f>
        <v>0.22</v>
      </c>
      <c r="R6" s="77">
        <f>+P6/Q6-1</f>
        <v>-0.24786324786324787</v>
      </c>
      <c r="S6" s="2"/>
      <c r="T6" s="2"/>
      <c r="U6" s="75">
        <f>MIN(U8:U12)</f>
        <v>5.5470085470085459E-2</v>
      </c>
      <c r="V6" s="75">
        <f>'DEVImulti calculation'!$D$18</f>
        <v>0.16547008547008546</v>
      </c>
      <c r="W6" s="72">
        <f>VLOOKUP($U6,$U$8:$V$12,2,0)</f>
        <v>0.11</v>
      </c>
      <c r="X6" s="81">
        <f>+P6/W6-1</f>
        <v>0.50427350427350426</v>
      </c>
    </row>
    <row r="7" spans="1:24" x14ac:dyDescent="0.25">
      <c r="B7" s="47"/>
      <c r="C7" s="280">
        <f>E$3*4</f>
        <v>0.88</v>
      </c>
      <c r="D7" s="48">
        <v>30</v>
      </c>
      <c r="E7" s="49">
        <f>$D$5/SQRT(D7*$C7)</f>
        <v>44.763689289287569</v>
      </c>
      <c r="F7" s="49">
        <f t="shared" ref="F7:F46" si="0">E7*D7</f>
        <v>1342.9106786786272</v>
      </c>
      <c r="G7" s="50">
        <f t="shared" ref="G7:G46" si="1">F7/$D$5</f>
        <v>5.8387420812114224</v>
      </c>
      <c r="H7" s="48">
        <v>30</v>
      </c>
      <c r="I7" s="49">
        <f>$H$5/SQRT(H7*$C7)</f>
        <v>77.849894416152296</v>
      </c>
      <c r="J7" s="49">
        <f t="shared" ref="J7:J50" si="2">I7*H7</f>
        <v>2335.496832484569</v>
      </c>
      <c r="K7" s="49">
        <f>J7/$H$5</f>
        <v>5.8387420812114224</v>
      </c>
      <c r="L7" s="51"/>
      <c r="O7" s="6"/>
      <c r="P7" s="73" t="s">
        <v>127</v>
      </c>
      <c r="Q7" s="2"/>
      <c r="R7" s="2"/>
      <c r="S7" s="2"/>
      <c r="T7" s="2"/>
      <c r="U7" s="2"/>
      <c r="V7" s="73" t="s">
        <v>128</v>
      </c>
      <c r="W7" s="2"/>
      <c r="X7" s="7"/>
    </row>
    <row r="8" spans="1:24" x14ac:dyDescent="0.25">
      <c r="B8" s="47">
        <v>1</v>
      </c>
      <c r="C8" s="281"/>
      <c r="D8" s="52">
        <v>20</v>
      </c>
      <c r="E8" s="51">
        <f>$D$5/SQRT(D8*$C7)</f>
        <v>54.824098881621552</v>
      </c>
      <c r="F8" s="51">
        <f t="shared" si="0"/>
        <v>1096.4819776324312</v>
      </c>
      <c r="G8" s="53">
        <f t="shared" si="1"/>
        <v>4.7673129462279613</v>
      </c>
      <c r="H8" s="52">
        <v>20</v>
      </c>
      <c r="I8" s="51">
        <f>$H$5/SQRT(H8*$C7)</f>
        <v>95.346258924559223</v>
      </c>
      <c r="J8" s="51">
        <f t="shared" si="2"/>
        <v>1906.9251784911844</v>
      </c>
      <c r="K8" s="51">
        <f t="shared" ref="K8:K50" si="3">J8/$H$5</f>
        <v>4.7673129462279613</v>
      </c>
      <c r="L8" s="51"/>
      <c r="O8" s="80">
        <f>+ABS($P$6-P8)</f>
        <v>0.71452991452991454</v>
      </c>
      <c r="P8" s="73">
        <v>0.88</v>
      </c>
      <c r="Q8" s="79">
        <f>+$P$6/P8-1</f>
        <v>-0.81196581196581197</v>
      </c>
      <c r="R8" s="2"/>
      <c r="S8" s="2"/>
      <c r="T8" s="2"/>
      <c r="U8" s="75">
        <f>+ABS($V$6-V8)</f>
        <v>0.49452991452991457</v>
      </c>
      <c r="V8" s="73">
        <v>0.66</v>
      </c>
      <c r="W8" s="79">
        <f>+$P$6/V8-1</f>
        <v>-0.74928774928774933</v>
      </c>
      <c r="X8" s="7"/>
    </row>
    <row r="9" spans="1:24" x14ac:dyDescent="0.25">
      <c r="C9" s="281"/>
      <c r="D9" s="54">
        <v>15</v>
      </c>
      <c r="E9" s="55">
        <f>$D$5/SQRT(D9*$C7)</f>
        <v>63.305416494765737</v>
      </c>
      <c r="F9" s="55">
        <f t="shared" si="0"/>
        <v>949.58124742148607</v>
      </c>
      <c r="G9" s="56">
        <f t="shared" si="1"/>
        <v>4.1286141192238528</v>
      </c>
      <c r="H9" s="54">
        <v>15</v>
      </c>
      <c r="I9" s="55">
        <f>$H$5/SQRT(H9*$C7)</f>
        <v>110.09637651263607</v>
      </c>
      <c r="J9" s="55">
        <f t="shared" si="2"/>
        <v>1651.4456476895411</v>
      </c>
      <c r="K9" s="55">
        <f t="shared" si="3"/>
        <v>4.1286141192238528</v>
      </c>
      <c r="L9" s="51"/>
      <c r="O9" s="80">
        <f t="shared" ref="O9:O12" si="4">+ABS($P$6-P9)</f>
        <v>0.27452991452991454</v>
      </c>
      <c r="P9" s="73">
        <v>0.44</v>
      </c>
      <c r="Q9" s="79">
        <f t="shared" ref="Q9:Q11" si="5">+$P$6/P9-1</f>
        <v>-0.62393162393162394</v>
      </c>
      <c r="R9" s="2"/>
      <c r="S9" s="2"/>
      <c r="T9" s="2"/>
      <c r="U9" s="75">
        <f t="shared" ref="U9:U12" si="6">+ABS($V$6-V9)</f>
        <v>0.38452991452991458</v>
      </c>
      <c r="V9" s="73">
        <v>0.55000000000000004</v>
      </c>
      <c r="W9" s="79">
        <f t="shared" ref="W9:W11" si="7">+$P$6/V9-1</f>
        <v>-0.69914529914529921</v>
      </c>
      <c r="X9" s="7"/>
    </row>
    <row r="10" spans="1:24" ht="15.75" thickBot="1" x14ac:dyDescent="0.3">
      <c r="C10" s="282"/>
      <c r="D10" s="57">
        <v>10</v>
      </c>
      <c r="E10" s="58">
        <f>$D$5/SQRT(D10*$C7)</f>
        <v>77.532984183272831</v>
      </c>
      <c r="F10" s="58">
        <f t="shared" si="0"/>
        <v>775.32984183272833</v>
      </c>
      <c r="G10" s="59">
        <f t="shared" si="1"/>
        <v>3.3709993123162101</v>
      </c>
      <c r="H10" s="57">
        <v>10</v>
      </c>
      <c r="I10" s="58">
        <f>$H$5/SQRT(H10*$C7)</f>
        <v>134.8399724926484</v>
      </c>
      <c r="J10" s="58">
        <f t="shared" si="2"/>
        <v>1348.3997249264839</v>
      </c>
      <c r="K10" s="58">
        <f t="shared" si="3"/>
        <v>3.3709993123162096</v>
      </c>
      <c r="L10" s="51"/>
      <c r="O10" s="80">
        <f t="shared" si="4"/>
        <v>0.16452991452991456</v>
      </c>
      <c r="P10" s="73">
        <v>0.33</v>
      </c>
      <c r="Q10" s="79">
        <f t="shared" si="5"/>
        <v>-0.49857549857549865</v>
      </c>
      <c r="R10" s="2"/>
      <c r="S10" s="2"/>
      <c r="T10" s="2"/>
      <c r="U10" s="75">
        <f t="shared" si="6"/>
        <v>5.5470085470085459E-2</v>
      </c>
      <c r="V10" s="73">
        <v>0.11</v>
      </c>
      <c r="W10" s="79">
        <f t="shared" si="7"/>
        <v>0.50427350427350426</v>
      </c>
      <c r="X10" s="7"/>
    </row>
    <row r="11" spans="1:24" x14ac:dyDescent="0.25">
      <c r="C11" s="277">
        <f>E$3*3</f>
        <v>0.66</v>
      </c>
      <c r="D11" s="48">
        <v>30</v>
      </c>
      <c r="E11" s="49">
        <f>$D$5/SQRT(D11*$C11)</f>
        <v>51.688656122181889</v>
      </c>
      <c r="F11" s="49">
        <f t="shared" si="0"/>
        <v>1550.6596836654567</v>
      </c>
      <c r="G11" s="50">
        <f t="shared" si="1"/>
        <v>6.7419986246324202</v>
      </c>
      <c r="H11" s="48">
        <v>30</v>
      </c>
      <c r="I11" s="49">
        <f>$H$5/SQRT(H11*$C11)</f>
        <v>89.893314995098933</v>
      </c>
      <c r="J11" s="49">
        <f t="shared" si="2"/>
        <v>2696.7994498529679</v>
      </c>
      <c r="K11" s="49">
        <f t="shared" si="3"/>
        <v>6.7419986246324193</v>
      </c>
      <c r="L11" s="51"/>
      <c r="O11" s="80">
        <f t="shared" si="4"/>
        <v>0.12782991452991455</v>
      </c>
      <c r="P11" s="73">
        <v>0.29330000000000001</v>
      </c>
      <c r="Q11" s="79">
        <f t="shared" si="5"/>
        <v>-0.43583332604812319</v>
      </c>
      <c r="R11" s="2"/>
      <c r="S11" s="2"/>
      <c r="T11" s="2"/>
      <c r="U11" s="75">
        <f t="shared" si="6"/>
        <v>9.2170085470085455E-2</v>
      </c>
      <c r="V11" s="73">
        <v>7.3300000000000004E-2</v>
      </c>
      <c r="W11" s="79">
        <f t="shared" si="7"/>
        <v>1.257436363848369</v>
      </c>
      <c r="X11" s="7"/>
    </row>
    <row r="12" spans="1:24" ht="15.75" thickBot="1" x14ac:dyDescent="0.3">
      <c r="B12">
        <v>2</v>
      </c>
      <c r="C12" s="278"/>
      <c r="D12" s="52">
        <v>20</v>
      </c>
      <c r="E12" s="51">
        <f>$D$5/SQRT(D12*$C11)</f>
        <v>63.30541649476573</v>
      </c>
      <c r="F12" s="51">
        <f t="shared" si="0"/>
        <v>1266.1083298953147</v>
      </c>
      <c r="G12" s="53">
        <f t="shared" si="1"/>
        <v>5.5048188256318031</v>
      </c>
      <c r="H12" s="52">
        <v>20</v>
      </c>
      <c r="I12" s="51">
        <f>$H$5/SQRT(H12*$C11)</f>
        <v>110.09637651263606</v>
      </c>
      <c r="J12" s="51">
        <f t="shared" si="2"/>
        <v>2201.9275302527212</v>
      </c>
      <c r="K12" s="51">
        <f t="shared" si="3"/>
        <v>5.5048188256318031</v>
      </c>
      <c r="L12" s="51"/>
      <c r="O12" s="82">
        <f t="shared" si="4"/>
        <v>5.4529914529914542E-2</v>
      </c>
      <c r="P12" s="86">
        <v>0.22</v>
      </c>
      <c r="Q12" s="84">
        <f>+$P$6/P12-1</f>
        <v>-0.24786324786324787</v>
      </c>
      <c r="R12" s="71"/>
      <c r="S12" s="71"/>
      <c r="T12" s="71"/>
      <c r="U12" s="85">
        <f t="shared" si="6"/>
        <v>0.11047008547008547</v>
      </c>
      <c r="V12" s="86">
        <v>5.5E-2</v>
      </c>
      <c r="W12" s="84">
        <f>+$P$6/V12-1</f>
        <v>2.0085470085470085</v>
      </c>
      <c r="X12" s="8"/>
    </row>
    <row r="13" spans="1:24" x14ac:dyDescent="0.25">
      <c r="C13" s="278"/>
      <c r="D13" s="54">
        <v>15</v>
      </c>
      <c r="E13" s="60">
        <f>$D$5/SQRT(D13*$C11)</f>
        <v>73.098798508828736</v>
      </c>
      <c r="F13" s="60">
        <f t="shared" si="0"/>
        <v>1096.4819776324312</v>
      </c>
      <c r="G13" s="61">
        <f t="shared" si="1"/>
        <v>4.7673129462279613</v>
      </c>
      <c r="H13" s="54">
        <v>15</v>
      </c>
      <c r="I13" s="60">
        <f>$H$5/SQRT(H13*$C11)</f>
        <v>127.12834523274563</v>
      </c>
      <c r="J13" s="60">
        <f t="shared" si="2"/>
        <v>1906.9251784911844</v>
      </c>
      <c r="K13" s="55">
        <f t="shared" si="3"/>
        <v>4.7673129462279613</v>
      </c>
      <c r="L13" s="51"/>
      <c r="O13" s="6"/>
      <c r="P13" s="2"/>
      <c r="Q13" s="2"/>
      <c r="R13" s="2"/>
      <c r="S13" s="2"/>
      <c r="T13" s="2"/>
      <c r="U13" s="2"/>
      <c r="V13" s="2"/>
      <c r="W13" s="2"/>
      <c r="X13" s="7"/>
    </row>
    <row r="14" spans="1:24" ht="15.75" thickBot="1" x14ac:dyDescent="0.3">
      <c r="C14" s="279"/>
      <c r="D14" s="57">
        <v>10</v>
      </c>
      <c r="E14" s="62">
        <f>$D$5/SQRT(D14*$C11)</f>
        <v>89.527378578575139</v>
      </c>
      <c r="F14" s="62">
        <f t="shared" si="0"/>
        <v>895.27378578575144</v>
      </c>
      <c r="G14" s="63">
        <f t="shared" si="1"/>
        <v>3.892494720807615</v>
      </c>
      <c r="H14" s="57">
        <v>10</v>
      </c>
      <c r="I14" s="62">
        <f>$H$5/SQRT(H14*$C11)</f>
        <v>155.69978883230459</v>
      </c>
      <c r="J14" s="62">
        <f t="shared" si="2"/>
        <v>1556.997888323046</v>
      </c>
      <c r="K14" s="58">
        <f t="shared" si="3"/>
        <v>3.892494720807615</v>
      </c>
      <c r="L14" s="51"/>
      <c r="O14" s="6"/>
      <c r="P14" s="2"/>
      <c r="Q14" s="2"/>
      <c r="R14" s="2"/>
      <c r="S14" s="2"/>
      <c r="T14" s="2"/>
      <c r="U14" s="2"/>
      <c r="V14" s="2"/>
      <c r="W14" s="2"/>
      <c r="X14" s="7"/>
    </row>
    <row r="15" spans="1:24" ht="15.75" thickBot="1" x14ac:dyDescent="0.3">
      <c r="C15" s="280">
        <f>(E$3/2) + E$3*2</f>
        <v>0.55000000000000004</v>
      </c>
      <c r="D15" s="48">
        <v>30</v>
      </c>
      <c r="E15" s="49">
        <f>$D$5/SQRT(D15*$C15)</f>
        <v>56.62208585049305</v>
      </c>
      <c r="F15" s="49">
        <f t="shared" si="0"/>
        <v>1698.6625755147916</v>
      </c>
      <c r="G15" s="50">
        <f t="shared" si="1"/>
        <v>7.3854894587599631</v>
      </c>
      <c r="H15" s="48">
        <v>30</v>
      </c>
      <c r="I15" s="49">
        <f>$H$5/SQRT(H15*$C15)</f>
        <v>98.473192783466175</v>
      </c>
      <c r="J15" s="49">
        <f t="shared" si="2"/>
        <v>2954.1957835039852</v>
      </c>
      <c r="K15" s="49">
        <f t="shared" si="3"/>
        <v>7.3854894587599631</v>
      </c>
      <c r="L15" s="51"/>
      <c r="O15" s="254" t="s">
        <v>133</v>
      </c>
      <c r="P15" s="255"/>
      <c r="Q15" s="255"/>
      <c r="R15" s="255"/>
      <c r="S15" s="255"/>
      <c r="T15" s="255"/>
      <c r="U15" s="255"/>
      <c r="V15" s="255"/>
      <c r="W15" s="255"/>
      <c r="X15" s="256"/>
    </row>
    <row r="16" spans="1:24" x14ac:dyDescent="0.25">
      <c r="B16">
        <v>3</v>
      </c>
      <c r="C16" s="281"/>
      <c r="D16" s="64">
        <v>20</v>
      </c>
      <c r="E16" s="65">
        <f>$D$5/SQRT(D16*$C15)</f>
        <v>69.347609252885633</v>
      </c>
      <c r="F16" s="65">
        <f t="shared" si="0"/>
        <v>1386.9521850577125</v>
      </c>
      <c r="G16" s="53">
        <f t="shared" si="1"/>
        <v>6.0302268915552721</v>
      </c>
      <c r="H16" s="64">
        <v>20</v>
      </c>
      <c r="I16" s="65">
        <f>$H$5/SQRT(H16*$C15)</f>
        <v>120.60453783110545</v>
      </c>
      <c r="J16" s="65">
        <f t="shared" si="2"/>
        <v>2412.090756622109</v>
      </c>
      <c r="K16" s="51">
        <f t="shared" si="3"/>
        <v>6.0302268915552721</v>
      </c>
      <c r="L16" s="51"/>
      <c r="O16" s="3"/>
      <c r="P16" s="4"/>
      <c r="Q16" s="87" t="str">
        <f>IF(OR(P17/VLOOKUP($O17,O19:P23,2,0)-1&lt;-0.1,P17/VLOOKUP($O17,O19:P23,2,0)-1&gt;0),"",VLOOKUP($O17,O19:P23,2,0))</f>
        <v/>
      </c>
      <c r="R16" s="4"/>
      <c r="S16" s="4"/>
      <c r="T16" s="4"/>
      <c r="U16" s="4"/>
      <c r="V16" s="4"/>
      <c r="W16" s="87" t="str">
        <f>IF(OR(V17/VLOOKUP($U17,U19:V23,2,0)-1&lt;-0.1,V17/VLOOKUP($U17,U19:V23,2,0)-1&gt;0),"",VLOOKUP($U17,U19:V23,2,0))</f>
        <v/>
      </c>
      <c r="X16" s="5"/>
    </row>
    <row r="17" spans="2:24" x14ac:dyDescent="0.25">
      <c r="C17" s="281"/>
      <c r="D17" s="66">
        <v>15</v>
      </c>
      <c r="E17" s="67">
        <f>$D$5/SQRT(D17*$C15)</f>
        <v>80.075721739621002</v>
      </c>
      <c r="F17" s="67">
        <f t="shared" si="0"/>
        <v>1201.135826094315</v>
      </c>
      <c r="G17" s="61">
        <f t="shared" si="1"/>
        <v>5.2223296786709348</v>
      </c>
      <c r="H17" s="66">
        <v>15</v>
      </c>
      <c r="I17" s="67">
        <f>$H$5/SQRT(H17*$C15)</f>
        <v>139.26212476455828</v>
      </c>
      <c r="J17" s="67">
        <f t="shared" si="2"/>
        <v>2088.9318714683741</v>
      </c>
      <c r="K17" s="55">
        <f t="shared" si="3"/>
        <v>5.2223296786709348</v>
      </c>
      <c r="L17" s="51"/>
      <c r="O17" s="80">
        <f>MIN(O19:O23)</f>
        <v>0.13726495726495727</v>
      </c>
      <c r="P17" s="76">
        <f>'DEVImulti calculation'!$D$19</f>
        <v>8.273504273504273E-2</v>
      </c>
      <c r="Q17" s="72">
        <f>VLOOKUP($O17,O19:P23,2,0)</f>
        <v>0.22</v>
      </c>
      <c r="R17" s="77">
        <f>+P17/Q17-1</f>
        <v>-0.62393162393162394</v>
      </c>
      <c r="S17" s="2"/>
      <c r="T17" s="2"/>
      <c r="U17" s="75">
        <f>MIN(U19:U23)</f>
        <v>9.4350427350427257E-3</v>
      </c>
      <c r="V17" s="75">
        <f>'DEVImulti calculation'!$D$19</f>
        <v>8.273504273504273E-2</v>
      </c>
      <c r="W17" s="72">
        <f>VLOOKUP($U17,U19:V23,2,0)</f>
        <v>7.3300000000000004E-2</v>
      </c>
      <c r="X17" s="81">
        <f>+P17/W17-1</f>
        <v>0.12871818192418449</v>
      </c>
    </row>
    <row r="18" spans="2:24" ht="15.75" thickBot="1" x14ac:dyDescent="0.3">
      <c r="C18" s="282"/>
      <c r="D18" s="68">
        <v>10</v>
      </c>
      <c r="E18" s="69">
        <f>$D$5/SQRT(D18*$C15)</f>
        <v>98.072329523580791</v>
      </c>
      <c r="F18" s="69">
        <f t="shared" si="0"/>
        <v>980.72329523580788</v>
      </c>
      <c r="G18" s="63">
        <f t="shared" si="1"/>
        <v>4.264014327112208</v>
      </c>
      <c r="H18" s="68">
        <v>10</v>
      </c>
      <c r="I18" s="69">
        <f>$H$5/SQRT(H18*$C15)</f>
        <v>170.56057308448834</v>
      </c>
      <c r="J18" s="69">
        <f t="shared" si="2"/>
        <v>1705.6057308448835</v>
      </c>
      <c r="K18" s="58">
        <f t="shared" si="3"/>
        <v>4.2640143271122088</v>
      </c>
      <c r="L18" s="51"/>
      <c r="O18" s="6"/>
      <c r="P18" s="73" t="s">
        <v>127</v>
      </c>
      <c r="Q18" s="2"/>
      <c r="R18" s="2"/>
      <c r="S18" s="2"/>
      <c r="T18" s="2"/>
      <c r="U18" s="2"/>
      <c r="V18" s="73" t="s">
        <v>128</v>
      </c>
      <c r="W18" s="2"/>
      <c r="X18" s="7"/>
    </row>
    <row r="19" spans="2:24" x14ac:dyDescent="0.25">
      <c r="C19" s="277">
        <f>$E$3*2</f>
        <v>0.44</v>
      </c>
      <c r="D19" s="48">
        <v>30</v>
      </c>
      <c r="E19" s="49">
        <f>$D$5/SQRT(D19*$C19)</f>
        <v>63.305416494765737</v>
      </c>
      <c r="F19" s="49">
        <f t="shared" si="0"/>
        <v>1899.1624948429721</v>
      </c>
      <c r="G19" s="50">
        <f t="shared" si="1"/>
        <v>8.2572282384477056</v>
      </c>
      <c r="H19" s="48">
        <v>30</v>
      </c>
      <c r="I19" s="49">
        <f>$H$5/SQRT(H19*$C19)</f>
        <v>110.09637651263607</v>
      </c>
      <c r="J19" s="49">
        <f t="shared" si="2"/>
        <v>3302.8912953790823</v>
      </c>
      <c r="K19" s="49">
        <f t="shared" si="3"/>
        <v>8.2572282384477056</v>
      </c>
      <c r="L19" s="51"/>
      <c r="O19" s="80">
        <f>+ABS($P$17-P19)</f>
        <v>0.79726495726495727</v>
      </c>
      <c r="P19" s="73">
        <v>0.88</v>
      </c>
      <c r="Q19" s="79">
        <f>+$P$17/P19-1</f>
        <v>-0.90598290598290598</v>
      </c>
      <c r="R19" s="2"/>
      <c r="S19" s="2"/>
      <c r="T19" s="2"/>
      <c r="U19" s="75">
        <f>+ABS($V$17-V19)</f>
        <v>0.5772649572649573</v>
      </c>
      <c r="V19" s="73">
        <v>0.66</v>
      </c>
      <c r="W19" s="79">
        <f>+$P$17/V19-1</f>
        <v>-0.87464387464387472</v>
      </c>
      <c r="X19" s="7"/>
    </row>
    <row r="20" spans="2:24" x14ac:dyDescent="0.25">
      <c r="B20">
        <v>4</v>
      </c>
      <c r="C20" s="278"/>
      <c r="D20" s="52">
        <v>20</v>
      </c>
      <c r="E20" s="51">
        <f>$D$5/SQRT(D20*$C19)</f>
        <v>77.532984183272831</v>
      </c>
      <c r="F20" s="51">
        <f t="shared" si="0"/>
        <v>1550.6596836654567</v>
      </c>
      <c r="G20" s="53">
        <f t="shared" si="1"/>
        <v>6.7419986246324202</v>
      </c>
      <c r="H20" s="52">
        <v>20</v>
      </c>
      <c r="I20" s="51">
        <f>$H$5/SQRT(H20*$C19)</f>
        <v>134.8399724926484</v>
      </c>
      <c r="J20" s="51">
        <f t="shared" si="2"/>
        <v>2696.7994498529679</v>
      </c>
      <c r="K20" s="51">
        <f t="shared" si="3"/>
        <v>6.7419986246324193</v>
      </c>
      <c r="L20" s="51"/>
      <c r="O20" s="80">
        <f>+ABS($P$17-P20)</f>
        <v>0.35726495726495727</v>
      </c>
      <c r="P20" s="73">
        <v>0.44</v>
      </c>
      <c r="Q20" s="79">
        <f t="shared" ref="Q20:Q23" si="8">+$P$17/P20-1</f>
        <v>-0.81196581196581197</v>
      </c>
      <c r="R20" s="2"/>
      <c r="S20" s="2"/>
      <c r="T20" s="2"/>
      <c r="U20" s="75">
        <f t="shared" ref="U20:U23" si="9">+ABS($V$17-V20)</f>
        <v>0.46726495726495731</v>
      </c>
      <c r="V20" s="73">
        <v>0.55000000000000004</v>
      </c>
      <c r="W20" s="79">
        <f t="shared" ref="W20:W23" si="10">+$P$17/V20-1</f>
        <v>-0.84957264957264966</v>
      </c>
      <c r="X20" s="7"/>
    </row>
    <row r="21" spans="2:24" x14ac:dyDescent="0.25">
      <c r="C21" s="278"/>
      <c r="D21" s="54">
        <v>15</v>
      </c>
      <c r="E21" s="60">
        <f>$D$5/SQRT(D21*$C19)</f>
        <v>89.527378578575139</v>
      </c>
      <c r="F21" s="60">
        <f t="shared" si="0"/>
        <v>1342.9106786786272</v>
      </c>
      <c r="G21" s="61">
        <f t="shared" si="1"/>
        <v>5.8387420812114224</v>
      </c>
      <c r="H21" s="54">
        <v>15</v>
      </c>
      <c r="I21" s="60">
        <f>$H$5/SQRT(H21*$C19)</f>
        <v>155.69978883230459</v>
      </c>
      <c r="J21" s="60">
        <f t="shared" si="2"/>
        <v>2335.496832484569</v>
      </c>
      <c r="K21" s="55">
        <f t="shared" si="3"/>
        <v>5.8387420812114224</v>
      </c>
      <c r="L21" s="51"/>
      <c r="O21" s="80">
        <f>+ABS($P$17-P21)</f>
        <v>0.24726495726495729</v>
      </c>
      <c r="P21" s="73">
        <v>0.33</v>
      </c>
      <c r="Q21" s="79">
        <f t="shared" si="8"/>
        <v>-0.74928774928774933</v>
      </c>
      <c r="R21" s="2"/>
      <c r="S21" s="2"/>
      <c r="T21" s="2"/>
      <c r="U21" s="75">
        <f t="shared" si="9"/>
        <v>2.7264957264957271E-2</v>
      </c>
      <c r="V21" s="73">
        <v>0.11</v>
      </c>
      <c r="W21" s="79">
        <f t="shared" si="10"/>
        <v>-0.24786324786324787</v>
      </c>
      <c r="X21" s="7"/>
    </row>
    <row r="22" spans="2:24" ht="15.75" thickBot="1" x14ac:dyDescent="0.3">
      <c r="C22" s="279"/>
      <c r="D22" s="57">
        <v>10</v>
      </c>
      <c r="E22" s="62">
        <f>$D$5/SQRT(D22*$C19)</f>
        <v>109.6481977632431</v>
      </c>
      <c r="F22" s="62">
        <f t="shared" si="0"/>
        <v>1096.4819776324312</v>
      </c>
      <c r="G22" s="63">
        <f t="shared" si="1"/>
        <v>4.7673129462279613</v>
      </c>
      <c r="H22" s="57">
        <v>10</v>
      </c>
      <c r="I22" s="62">
        <f>$H$5/SQRT(H22*$C19)</f>
        <v>190.69251784911845</v>
      </c>
      <c r="J22" s="62">
        <f t="shared" si="2"/>
        <v>1906.9251784911844</v>
      </c>
      <c r="K22" s="58">
        <f t="shared" si="3"/>
        <v>4.7673129462279613</v>
      </c>
      <c r="L22" s="51"/>
      <c r="O22" s="80">
        <f t="shared" ref="O22:O23" si="11">+ABS($P$17-P22)</f>
        <v>0.21056495726495728</v>
      </c>
      <c r="P22" s="73">
        <v>0.29330000000000001</v>
      </c>
      <c r="Q22" s="79">
        <f t="shared" si="8"/>
        <v>-0.71791666302406165</v>
      </c>
      <c r="R22" s="2"/>
      <c r="S22" s="2"/>
      <c r="T22" s="2"/>
      <c r="U22" s="75">
        <f t="shared" si="9"/>
        <v>9.4350427350427257E-3</v>
      </c>
      <c r="V22" s="73">
        <v>7.3300000000000004E-2</v>
      </c>
      <c r="W22" s="79">
        <f t="shared" si="10"/>
        <v>0.12871818192418449</v>
      </c>
      <c r="X22" s="7"/>
    </row>
    <row r="23" spans="2:24" ht="15.75" thickBot="1" x14ac:dyDescent="0.3">
      <c r="C23" s="280">
        <f>(E$3/2) +E$3*1</f>
        <v>0.33</v>
      </c>
      <c r="D23" s="48">
        <v>30</v>
      </c>
      <c r="E23" s="49">
        <f>$D$5/SQRT(D23*$C23)</f>
        <v>73.098798508828736</v>
      </c>
      <c r="F23" s="49">
        <f t="shared" si="0"/>
        <v>2192.9639552648623</v>
      </c>
      <c r="G23" s="50">
        <f t="shared" si="1"/>
        <v>9.5346258924559226</v>
      </c>
      <c r="H23" s="48">
        <v>30</v>
      </c>
      <c r="I23" s="49">
        <f>$H$5/SQRT(H23*$C23)</f>
        <v>127.12834523274563</v>
      </c>
      <c r="J23" s="49">
        <f t="shared" si="2"/>
        <v>3813.8503569823688</v>
      </c>
      <c r="K23" s="49">
        <f t="shared" si="3"/>
        <v>9.5346258924559226</v>
      </c>
      <c r="L23" s="51"/>
      <c r="O23" s="82">
        <f t="shared" si="11"/>
        <v>0.13726495726495727</v>
      </c>
      <c r="P23" s="86">
        <v>0.22</v>
      </c>
      <c r="Q23" s="84">
        <f t="shared" si="8"/>
        <v>-0.62393162393162394</v>
      </c>
      <c r="R23" s="71"/>
      <c r="S23" s="71"/>
      <c r="T23" s="71"/>
      <c r="U23" s="85">
        <f t="shared" si="9"/>
        <v>2.7735042735042729E-2</v>
      </c>
      <c r="V23" s="86">
        <v>5.5E-2</v>
      </c>
      <c r="W23" s="84">
        <f t="shared" si="10"/>
        <v>0.50427350427350426</v>
      </c>
      <c r="X23" s="8"/>
    </row>
    <row r="24" spans="2:24" ht="15.75" thickBot="1" x14ac:dyDescent="0.3">
      <c r="B24">
        <v>5</v>
      </c>
      <c r="C24" s="281"/>
      <c r="D24" s="52">
        <v>20</v>
      </c>
      <c r="E24" s="51">
        <f>$D$5/SQRT(D24*$C23)</f>
        <v>89.527378578575139</v>
      </c>
      <c r="F24" s="51">
        <f t="shared" si="0"/>
        <v>1790.5475715715029</v>
      </c>
      <c r="G24" s="53">
        <f t="shared" si="1"/>
        <v>7.7849894416152301</v>
      </c>
      <c r="H24" s="52">
        <v>20</v>
      </c>
      <c r="I24" s="51">
        <f>$H$5/SQRT(H24*$C23)</f>
        <v>155.69978883230459</v>
      </c>
      <c r="J24" s="51">
        <f t="shared" si="2"/>
        <v>3113.9957766460921</v>
      </c>
      <c r="K24" s="51">
        <f t="shared" si="3"/>
        <v>7.7849894416152301</v>
      </c>
      <c r="L24" s="51"/>
    </row>
    <row r="25" spans="2:24" ht="15.75" thickBot="1" x14ac:dyDescent="0.3">
      <c r="C25" s="281"/>
      <c r="D25" s="54">
        <v>15</v>
      </c>
      <c r="E25" s="60">
        <f>$D$5/SQRT(D25*$C23)</f>
        <v>103.37731224436378</v>
      </c>
      <c r="F25" s="60">
        <f t="shared" si="0"/>
        <v>1550.6596836654567</v>
      </c>
      <c r="G25" s="61">
        <f t="shared" si="1"/>
        <v>6.7419986246324202</v>
      </c>
      <c r="H25" s="54">
        <v>15</v>
      </c>
      <c r="I25" s="60">
        <f>$H$5/SQRT(H25*$C23)</f>
        <v>179.78662999019787</v>
      </c>
      <c r="J25" s="60">
        <f t="shared" si="2"/>
        <v>2696.7994498529679</v>
      </c>
      <c r="K25" s="55">
        <f t="shared" si="3"/>
        <v>6.7419986246324193</v>
      </c>
      <c r="L25" s="51"/>
      <c r="O25" s="257">
        <v>-0.33</v>
      </c>
      <c r="P25" s="255"/>
      <c r="Q25" s="255"/>
      <c r="R25" s="255"/>
      <c r="S25" s="255"/>
      <c r="T25" s="255"/>
      <c r="U25" s="255"/>
      <c r="V25" s="255"/>
      <c r="W25" s="255"/>
      <c r="X25" s="256"/>
    </row>
    <row r="26" spans="2:24" ht="15.75" thickBot="1" x14ac:dyDescent="0.3">
      <c r="C26" s="282"/>
      <c r="D26" s="57">
        <v>10</v>
      </c>
      <c r="E26" s="62">
        <f>$D$5/SQRT(D26*$C23)</f>
        <v>126.61083298953146</v>
      </c>
      <c r="F26" s="62">
        <f t="shared" si="0"/>
        <v>1266.1083298953147</v>
      </c>
      <c r="G26" s="63">
        <f t="shared" si="1"/>
        <v>5.5048188256318031</v>
      </c>
      <c r="H26" s="57">
        <v>10</v>
      </c>
      <c r="I26" s="62">
        <f>$H$5/SQRT(H26*$C23)</f>
        <v>220.19275302527211</v>
      </c>
      <c r="J26" s="62">
        <f t="shared" si="2"/>
        <v>2201.9275302527212</v>
      </c>
      <c r="K26" s="58">
        <f t="shared" si="3"/>
        <v>5.5048188256318031</v>
      </c>
      <c r="L26" s="51"/>
      <c r="O26" s="254" t="s">
        <v>132</v>
      </c>
      <c r="P26" s="255"/>
      <c r="Q26" s="255"/>
      <c r="R26" s="255"/>
      <c r="S26" s="255"/>
      <c r="T26" s="255"/>
      <c r="U26" s="255"/>
      <c r="V26" s="255"/>
      <c r="W26" s="255"/>
      <c r="X26" s="256"/>
    </row>
    <row r="27" spans="2:24" x14ac:dyDescent="0.25">
      <c r="C27" s="270">
        <f>(E$3/3) +E$3*1</f>
        <v>0.29333333333333333</v>
      </c>
      <c r="D27" s="48">
        <v>30</v>
      </c>
      <c r="E27" s="49">
        <f>$D$5/SQRT(D27*$C27)</f>
        <v>77.532984183272831</v>
      </c>
      <c r="F27" s="49">
        <f t="shared" si="0"/>
        <v>2325.9895254981848</v>
      </c>
      <c r="G27" s="50">
        <f t="shared" si="1"/>
        <v>10.112997936948629</v>
      </c>
      <c r="H27" s="48">
        <v>30</v>
      </c>
      <c r="I27" s="49">
        <f>$H$5/SQRT(H27*$C27)</f>
        <v>134.8399724926484</v>
      </c>
      <c r="J27" s="49">
        <f t="shared" si="2"/>
        <v>4045.1991747794518</v>
      </c>
      <c r="K27" s="49">
        <f t="shared" si="3"/>
        <v>10.112997936948629</v>
      </c>
      <c r="L27" s="51"/>
      <c r="O27" s="6"/>
      <c r="P27" s="2"/>
      <c r="Q27" s="74" t="str">
        <f>IF(OR(P28/VLOOKUP($O28,$O$8:$P$12,2,0)-1&lt;0,P28/VLOOKUP($O28,$O$8:$P$12,2,0)-1&gt;0.33),"",VLOOKUP($O28,$O$8:$P$12,2,0))</f>
        <v/>
      </c>
      <c r="R27" s="2"/>
      <c r="S27" s="2"/>
      <c r="T27" s="2"/>
      <c r="U27" s="2"/>
      <c r="V27" s="2"/>
      <c r="W27" s="74" t="str">
        <f>IF(OR(V28/VLOOKUP($U28,$U$8:$V$12,2,0)-1&lt;0,V28/VLOOKUP($U28,$U$8:$V$12,2,0)-1&gt;0.33),"",VLOOKUP($U28,$U$8:$V$12,2,0))</f>
        <v/>
      </c>
      <c r="X27" s="7"/>
    </row>
    <row r="28" spans="2:24" x14ac:dyDescent="0.25">
      <c r="B28">
        <v>6</v>
      </c>
      <c r="C28" s="271"/>
      <c r="D28" s="52">
        <v>20</v>
      </c>
      <c r="E28" s="51">
        <f>$D$5/SQRT(D28*$C27)</f>
        <v>94.958124742148598</v>
      </c>
      <c r="F28" s="51">
        <f t="shared" si="0"/>
        <v>1899.1624948429719</v>
      </c>
      <c r="G28" s="53">
        <f t="shared" si="1"/>
        <v>8.2572282384477038</v>
      </c>
      <c r="H28" s="52">
        <v>20</v>
      </c>
      <c r="I28" s="51">
        <f>$H$5/SQRT(H28*$C27)</f>
        <v>165.14456476895407</v>
      </c>
      <c r="J28" s="51">
        <f t="shared" si="2"/>
        <v>3302.8912953790814</v>
      </c>
      <c r="K28" s="51">
        <f t="shared" si="3"/>
        <v>8.2572282384477038</v>
      </c>
      <c r="L28" s="51"/>
      <c r="O28" s="80">
        <f>MIN(O30:O34)</f>
        <v>5.4529914529914542E-2</v>
      </c>
      <c r="P28" s="76">
        <f>'DEVImulti calculation'!$D$18</f>
        <v>0.16547008547008546</v>
      </c>
      <c r="Q28" s="72">
        <f>VLOOKUP($O28,$O$8:$P$12,2,0)</f>
        <v>0.22</v>
      </c>
      <c r="R28" s="77">
        <f>+P28/Q28-1</f>
        <v>-0.24786324786324787</v>
      </c>
      <c r="S28" s="2"/>
      <c r="T28" s="2"/>
      <c r="U28" s="75">
        <f>MIN(U30:U34)</f>
        <v>5.5470085470085459E-2</v>
      </c>
      <c r="V28" s="75">
        <f>'DEVImulti calculation'!$D$18</f>
        <v>0.16547008547008546</v>
      </c>
      <c r="W28" s="72">
        <f>VLOOKUP($U28,$U$8:$V$12,2,0)</f>
        <v>0.11</v>
      </c>
      <c r="X28" s="81">
        <f>+P28/W28-1</f>
        <v>0.50427350427350426</v>
      </c>
    </row>
    <row r="29" spans="2:24" x14ac:dyDescent="0.25">
      <c r="C29" s="271"/>
      <c r="D29" s="54">
        <v>15</v>
      </c>
      <c r="E29" s="60">
        <f>$D$5/SQRT(D29*$C27)</f>
        <v>109.6481977632431</v>
      </c>
      <c r="F29" s="60">
        <f t="shared" si="0"/>
        <v>1644.7229664486465</v>
      </c>
      <c r="G29" s="61">
        <f t="shared" si="1"/>
        <v>7.1509694193419415</v>
      </c>
      <c r="H29" s="54">
        <v>15</v>
      </c>
      <c r="I29" s="60">
        <f>$H$5/SQRT(H29*$C27)</f>
        <v>190.69251784911845</v>
      </c>
      <c r="J29" s="60">
        <f t="shared" si="2"/>
        <v>2860.3877677367768</v>
      </c>
      <c r="K29" s="55">
        <f t="shared" si="3"/>
        <v>7.1509694193419424</v>
      </c>
      <c r="L29" s="51"/>
      <c r="O29" s="6"/>
      <c r="P29" s="73" t="s">
        <v>127</v>
      </c>
      <c r="Q29" s="2"/>
      <c r="R29" s="2"/>
      <c r="S29" s="2"/>
      <c r="T29" s="2"/>
      <c r="U29" s="2"/>
      <c r="V29" s="73" t="s">
        <v>128</v>
      </c>
      <c r="W29" s="2"/>
      <c r="X29" s="7"/>
    </row>
    <row r="30" spans="2:24" ht="15.75" thickBot="1" x14ac:dyDescent="0.3">
      <c r="C30" s="272"/>
      <c r="D30" s="57">
        <v>10</v>
      </c>
      <c r="E30" s="62">
        <f>$D$5/SQRT(D30*$C27)</f>
        <v>134.29106786786269</v>
      </c>
      <c r="F30" s="62">
        <f t="shared" si="0"/>
        <v>1342.9106786786269</v>
      </c>
      <c r="G30" s="63">
        <f t="shared" si="1"/>
        <v>5.8387420812114215</v>
      </c>
      <c r="H30" s="57">
        <v>10</v>
      </c>
      <c r="I30" s="62">
        <f>$H$5/SQRT(H30*$C27)</f>
        <v>233.54968324845689</v>
      </c>
      <c r="J30" s="62">
        <f t="shared" si="2"/>
        <v>2335.496832484569</v>
      </c>
      <c r="K30" s="58">
        <f t="shared" si="3"/>
        <v>5.8387420812114224</v>
      </c>
      <c r="L30" s="51"/>
      <c r="O30" s="80">
        <f>+ABS($P$6-P30)</f>
        <v>0.71452991452991454</v>
      </c>
      <c r="P30" s="73">
        <v>0.88</v>
      </c>
      <c r="Q30" s="79">
        <f>+$P$6/P30-1</f>
        <v>-0.81196581196581197</v>
      </c>
      <c r="R30" s="2"/>
      <c r="S30" s="2"/>
      <c r="T30" s="2"/>
      <c r="U30" s="75">
        <f>+ABS($V$6-V30)</f>
        <v>0.49452991452991457</v>
      </c>
      <c r="V30" s="73">
        <v>0.66</v>
      </c>
      <c r="W30" s="79">
        <f>+$P$6/V30-1</f>
        <v>-0.74928774928774933</v>
      </c>
      <c r="X30" s="7"/>
    </row>
    <row r="31" spans="2:24" x14ac:dyDescent="0.25">
      <c r="C31" s="280">
        <f>(E$3/2) +(E$3/2)</f>
        <v>0.22</v>
      </c>
      <c r="D31" s="48">
        <v>30</v>
      </c>
      <c r="E31" s="49">
        <f>$D$5/SQRT(D31*$C31)</f>
        <v>89.527378578575139</v>
      </c>
      <c r="F31" s="49">
        <f t="shared" si="0"/>
        <v>2685.8213573572543</v>
      </c>
      <c r="G31" s="50">
        <f t="shared" si="1"/>
        <v>11.677484162422845</v>
      </c>
      <c r="H31" s="48">
        <v>30</v>
      </c>
      <c r="I31" s="49">
        <f>$H$5/SQRT(H31*$C31)</f>
        <v>155.69978883230459</v>
      </c>
      <c r="J31" s="49">
        <f t="shared" si="2"/>
        <v>4670.9936649691381</v>
      </c>
      <c r="K31" s="49">
        <f t="shared" si="3"/>
        <v>11.677484162422845</v>
      </c>
      <c r="L31" s="51"/>
      <c r="O31" s="80">
        <f t="shared" ref="O31:O34" si="12">+ABS($P$6-P31)</f>
        <v>0.27452991452991454</v>
      </c>
      <c r="P31" s="73">
        <v>0.44</v>
      </c>
      <c r="Q31" s="79">
        <f t="shared" ref="Q31:Q33" si="13">+$P$6/P31-1</f>
        <v>-0.62393162393162394</v>
      </c>
      <c r="R31" s="2"/>
      <c r="S31" s="2"/>
      <c r="T31" s="2"/>
      <c r="U31" s="75">
        <f t="shared" ref="U31:U34" si="14">+ABS($V$6-V31)</f>
        <v>0.38452991452991458</v>
      </c>
      <c r="V31" s="73">
        <v>0.55000000000000004</v>
      </c>
      <c r="W31" s="79">
        <f t="shared" ref="W31:W33" si="15">+$P$6/V31-1</f>
        <v>-0.69914529914529921</v>
      </c>
      <c r="X31" s="7"/>
    </row>
    <row r="32" spans="2:24" x14ac:dyDescent="0.25">
      <c r="B32">
        <v>7</v>
      </c>
      <c r="C32" s="281"/>
      <c r="D32" s="52">
        <v>20</v>
      </c>
      <c r="E32" s="51">
        <f>$D$5/SQRT(D32*$C31)</f>
        <v>109.6481977632431</v>
      </c>
      <c r="F32" s="51">
        <f t="shared" si="0"/>
        <v>2192.9639552648623</v>
      </c>
      <c r="G32" s="53">
        <f t="shared" si="1"/>
        <v>9.5346258924559226</v>
      </c>
      <c r="H32" s="52">
        <v>20</v>
      </c>
      <c r="I32" s="51">
        <f>$H$5/SQRT(H32*$C31)</f>
        <v>190.69251784911845</v>
      </c>
      <c r="J32" s="51">
        <f t="shared" si="2"/>
        <v>3813.8503569823688</v>
      </c>
      <c r="K32" s="51">
        <f t="shared" si="3"/>
        <v>9.5346258924559226</v>
      </c>
      <c r="L32" s="51"/>
      <c r="O32" s="80">
        <f t="shared" si="12"/>
        <v>0.16452991452991456</v>
      </c>
      <c r="P32" s="73">
        <v>0.33</v>
      </c>
      <c r="Q32" s="79">
        <f t="shared" si="13"/>
        <v>-0.49857549857549865</v>
      </c>
      <c r="R32" s="2"/>
      <c r="S32" s="2"/>
      <c r="T32" s="2"/>
      <c r="U32" s="75">
        <f t="shared" si="14"/>
        <v>5.5470085470085459E-2</v>
      </c>
      <c r="V32" s="73">
        <v>0.11</v>
      </c>
      <c r="W32" s="79">
        <f t="shared" si="15"/>
        <v>0.50427350427350426</v>
      </c>
      <c r="X32" s="7"/>
    </row>
    <row r="33" spans="2:24" x14ac:dyDescent="0.25">
      <c r="C33" s="281"/>
      <c r="D33" s="54">
        <v>15</v>
      </c>
      <c r="E33" s="60">
        <f>$D$5/SQRT(D33*$C31)</f>
        <v>126.61083298953147</v>
      </c>
      <c r="F33" s="60">
        <f t="shared" si="0"/>
        <v>1899.1624948429721</v>
      </c>
      <c r="G33" s="61">
        <f t="shared" si="1"/>
        <v>8.2572282384477056</v>
      </c>
      <c r="H33" s="54">
        <v>15</v>
      </c>
      <c r="I33" s="60">
        <f>$H$5/SQRT(H33*$C31)</f>
        <v>220.19275302527214</v>
      </c>
      <c r="J33" s="60">
        <f t="shared" si="2"/>
        <v>3302.8912953790823</v>
      </c>
      <c r="K33" s="55">
        <f t="shared" si="3"/>
        <v>8.2572282384477056</v>
      </c>
      <c r="L33" s="51"/>
      <c r="O33" s="80">
        <f t="shared" si="12"/>
        <v>0.12782991452991455</v>
      </c>
      <c r="P33" s="73">
        <v>0.29330000000000001</v>
      </c>
      <c r="Q33" s="79">
        <f t="shared" si="13"/>
        <v>-0.43583332604812319</v>
      </c>
      <c r="R33" s="2"/>
      <c r="S33" s="2"/>
      <c r="T33" s="2"/>
      <c r="U33" s="75">
        <f t="shared" si="14"/>
        <v>9.2170085470085455E-2</v>
      </c>
      <c r="V33" s="73">
        <v>7.3300000000000004E-2</v>
      </c>
      <c r="W33" s="79">
        <f t="shared" si="15"/>
        <v>1.257436363848369</v>
      </c>
      <c r="X33" s="7"/>
    </row>
    <row r="34" spans="2:24" ht="15.75" thickBot="1" x14ac:dyDescent="0.3">
      <c r="C34" s="282"/>
      <c r="D34" s="57">
        <v>10</v>
      </c>
      <c r="E34" s="62">
        <f>$D$5/SQRT(D34*$C31)</f>
        <v>155.06596836654566</v>
      </c>
      <c r="F34" s="62">
        <f t="shared" si="0"/>
        <v>1550.6596836654567</v>
      </c>
      <c r="G34" s="63">
        <f t="shared" si="1"/>
        <v>6.7419986246324202</v>
      </c>
      <c r="H34" s="57">
        <v>10</v>
      </c>
      <c r="I34" s="62">
        <f>$H$5/SQRT(H34*$C31)</f>
        <v>269.6799449852968</v>
      </c>
      <c r="J34" s="62">
        <f t="shared" si="2"/>
        <v>2696.7994498529679</v>
      </c>
      <c r="K34" s="58">
        <f t="shared" si="3"/>
        <v>6.7419986246324193</v>
      </c>
      <c r="L34" s="51"/>
      <c r="O34" s="82">
        <f t="shared" si="12"/>
        <v>5.4529914529914542E-2</v>
      </c>
      <c r="P34" s="86">
        <v>0.22</v>
      </c>
      <c r="Q34" s="84">
        <f>+$P$6/P34-1</f>
        <v>-0.24786324786324787</v>
      </c>
      <c r="R34" s="71"/>
      <c r="S34" s="71"/>
      <c r="T34" s="71"/>
      <c r="U34" s="85">
        <f t="shared" si="14"/>
        <v>0.11047008547008547</v>
      </c>
      <c r="V34" s="86">
        <v>5.5E-2</v>
      </c>
      <c r="W34" s="84">
        <f>+$P$6/V34-1</f>
        <v>2.0085470085470085</v>
      </c>
      <c r="X34" s="8"/>
    </row>
    <row r="35" spans="2:24" x14ac:dyDescent="0.25">
      <c r="C35" s="277">
        <f>(E$3/2)</f>
        <v>0.11</v>
      </c>
      <c r="D35" s="48">
        <v>30</v>
      </c>
      <c r="E35" s="49">
        <f>$D$5/SQRT(D35*$C35)</f>
        <v>126.61083298953147</v>
      </c>
      <c r="F35" s="49">
        <f t="shared" si="0"/>
        <v>3798.3249896859443</v>
      </c>
      <c r="G35" s="50">
        <f t="shared" si="1"/>
        <v>16.514456476895411</v>
      </c>
      <c r="H35" s="48">
        <v>30</v>
      </c>
      <c r="I35" s="49">
        <f>$H$5/SQRT(H35*$C35)</f>
        <v>220.19275302527214</v>
      </c>
      <c r="J35" s="49">
        <f t="shared" si="2"/>
        <v>6605.7825907581646</v>
      </c>
      <c r="K35" s="49">
        <f t="shared" si="3"/>
        <v>16.514456476895411</v>
      </c>
      <c r="L35" s="51"/>
      <c r="O35" s="6"/>
      <c r="P35" s="2"/>
      <c r="Q35" s="2"/>
      <c r="R35" s="2"/>
      <c r="S35" s="2"/>
      <c r="T35" s="2"/>
      <c r="U35" s="2"/>
      <c r="V35" s="2"/>
      <c r="W35" s="2"/>
      <c r="X35" s="7"/>
    </row>
    <row r="36" spans="2:24" ht="15.75" thickBot="1" x14ac:dyDescent="0.3">
      <c r="B36">
        <v>8</v>
      </c>
      <c r="C36" s="278"/>
      <c r="D36" s="52">
        <v>20</v>
      </c>
      <c r="E36" s="51">
        <f>$D$5/SQRT(D36*$C35)</f>
        <v>155.06596836654566</v>
      </c>
      <c r="F36" s="51">
        <f t="shared" si="0"/>
        <v>3101.3193673309133</v>
      </c>
      <c r="G36" s="53">
        <f t="shared" si="1"/>
        <v>13.48399724926484</v>
      </c>
      <c r="H36" s="52">
        <v>20</v>
      </c>
      <c r="I36" s="51">
        <f>$H$5/SQRT(H36*$C35)</f>
        <v>269.6799449852968</v>
      </c>
      <c r="J36" s="51">
        <f t="shared" si="2"/>
        <v>5393.5988997059358</v>
      </c>
      <c r="K36" s="51">
        <f t="shared" si="3"/>
        <v>13.483997249264839</v>
      </c>
      <c r="L36" s="51"/>
      <c r="O36" s="6"/>
      <c r="P36" s="2"/>
      <c r="Q36" s="2"/>
      <c r="R36" s="2"/>
      <c r="S36" s="2"/>
      <c r="T36" s="2"/>
      <c r="U36" s="2"/>
      <c r="V36" s="2"/>
      <c r="W36" s="2"/>
      <c r="X36" s="7"/>
    </row>
    <row r="37" spans="2:24" ht="15.75" thickBot="1" x14ac:dyDescent="0.3">
      <c r="C37" s="278"/>
      <c r="D37" s="54">
        <v>15</v>
      </c>
      <c r="E37" s="60">
        <f>$D$5/SQRT(D37*$C35)</f>
        <v>179.05475715715028</v>
      </c>
      <c r="F37" s="60">
        <f t="shared" si="0"/>
        <v>2685.8213573572543</v>
      </c>
      <c r="G37" s="61">
        <f t="shared" si="1"/>
        <v>11.677484162422845</v>
      </c>
      <c r="H37" s="54">
        <v>15</v>
      </c>
      <c r="I37" s="60">
        <f>$H$5/SQRT(H37*$C35)</f>
        <v>311.39957766460918</v>
      </c>
      <c r="J37" s="60">
        <f t="shared" si="2"/>
        <v>4670.9936649691381</v>
      </c>
      <c r="K37" s="55">
        <f t="shared" si="3"/>
        <v>11.677484162422845</v>
      </c>
      <c r="L37" s="51"/>
      <c r="O37" s="254" t="s">
        <v>133</v>
      </c>
      <c r="P37" s="255"/>
      <c r="Q37" s="255"/>
      <c r="R37" s="255"/>
      <c r="S37" s="255"/>
      <c r="T37" s="255"/>
      <c r="U37" s="255"/>
      <c r="V37" s="255"/>
      <c r="W37" s="255"/>
      <c r="X37" s="256"/>
    </row>
    <row r="38" spans="2:24" ht="15.75" thickBot="1" x14ac:dyDescent="0.3">
      <c r="C38" s="279"/>
      <c r="D38" s="57">
        <v>10</v>
      </c>
      <c r="E38" s="62">
        <f>$D$5/SQRT(D38*$C35)</f>
        <v>219.29639552648621</v>
      </c>
      <c r="F38" s="62">
        <f t="shared" si="0"/>
        <v>2192.9639552648623</v>
      </c>
      <c r="G38" s="63">
        <f t="shared" si="1"/>
        <v>9.5346258924559226</v>
      </c>
      <c r="H38" s="57">
        <v>10</v>
      </c>
      <c r="I38" s="62">
        <f>$H$5/SQRT(H38*$C35)</f>
        <v>381.38503569823689</v>
      </c>
      <c r="J38" s="62">
        <f t="shared" si="2"/>
        <v>3813.8503569823688</v>
      </c>
      <c r="K38" s="58">
        <f t="shared" si="3"/>
        <v>9.5346258924559226</v>
      </c>
      <c r="L38" s="51"/>
      <c r="O38" s="3"/>
      <c r="P38" s="4"/>
      <c r="Q38" s="87" t="str">
        <f>IF(OR(P39/VLOOKUP($O39,O41:P45,2,0)-1&lt;0,P39/VLOOKUP($O39,O41:P45,2,0)-1&gt;0.33),"",VLOOKUP($O39,O41:P45,2,0))</f>
        <v/>
      </c>
      <c r="R38" s="4"/>
      <c r="S38" s="4"/>
      <c r="T38" s="4"/>
      <c r="U38" s="4"/>
      <c r="V38" s="4"/>
      <c r="W38" s="87">
        <f>IF(OR(V39/VLOOKUP($U39,U41:V45,2,0)-1&lt;0,V39/VLOOKUP($U39,U41:V45,2,0)-1&gt;0.33),"",VLOOKUP($U39,U41:V45,2,0))</f>
        <v>7.3300000000000004E-2</v>
      </c>
      <c r="X38" s="5"/>
    </row>
    <row r="39" spans="2:24" x14ac:dyDescent="0.25">
      <c r="C39" s="267">
        <f>(E$3/3)</f>
        <v>7.3333333333333334E-2</v>
      </c>
      <c r="D39" s="48">
        <v>30</v>
      </c>
      <c r="E39" s="49">
        <f>$D$5/SQRT(D39*$C39)</f>
        <v>155.06596836654566</v>
      </c>
      <c r="F39" s="49">
        <f t="shared" si="0"/>
        <v>4651.9790509963696</v>
      </c>
      <c r="G39" s="50">
        <f t="shared" si="1"/>
        <v>20.225995873897258</v>
      </c>
      <c r="H39" s="48">
        <v>30</v>
      </c>
      <c r="I39" s="49">
        <f>$H$5/SQRT(H39*$C39)</f>
        <v>269.6799449852968</v>
      </c>
      <c r="J39" s="49">
        <f t="shared" si="2"/>
        <v>8090.3983495589036</v>
      </c>
      <c r="K39" s="49">
        <f t="shared" si="3"/>
        <v>20.225995873897258</v>
      </c>
      <c r="L39" s="51"/>
      <c r="O39" s="80">
        <f>MIN(O41:O45)</f>
        <v>0.13726495726495727</v>
      </c>
      <c r="P39" s="76">
        <f>'DEVImulti calculation'!$D$19</f>
        <v>8.273504273504273E-2</v>
      </c>
      <c r="Q39" s="72">
        <f>VLOOKUP($O39,O41:P45,2,0)</f>
        <v>0.22</v>
      </c>
      <c r="R39" s="77">
        <f>+P39/Q39-1</f>
        <v>-0.62393162393162394</v>
      </c>
      <c r="S39" s="2"/>
      <c r="T39" s="2"/>
      <c r="U39" s="75">
        <f>MIN(U41:U45)</f>
        <v>9.4350427350427257E-3</v>
      </c>
      <c r="V39" s="75">
        <f>'DEVImulti calculation'!$D$19</f>
        <v>8.273504273504273E-2</v>
      </c>
      <c r="W39" s="72">
        <f>VLOOKUP($U39,U41:V45,2,0)</f>
        <v>7.3300000000000004E-2</v>
      </c>
      <c r="X39" s="81">
        <f>+P39/W39-1</f>
        <v>0.12871818192418449</v>
      </c>
    </row>
    <row r="40" spans="2:24" x14ac:dyDescent="0.25">
      <c r="B40">
        <v>9</v>
      </c>
      <c r="C40" s="268"/>
      <c r="D40" s="52">
        <v>20</v>
      </c>
      <c r="E40" s="51">
        <f>$D$5/SQRT(D40*$C39)</f>
        <v>189.9162494842972</v>
      </c>
      <c r="F40" s="51">
        <f t="shared" si="0"/>
        <v>3798.3249896859438</v>
      </c>
      <c r="G40" s="53">
        <f t="shared" si="1"/>
        <v>16.514456476895408</v>
      </c>
      <c r="H40" s="52">
        <v>20</v>
      </c>
      <c r="I40" s="51">
        <f>$H$5/SQRT(H40*$C39)</f>
        <v>330.28912953790814</v>
      </c>
      <c r="J40" s="51">
        <f t="shared" si="2"/>
        <v>6605.7825907581628</v>
      </c>
      <c r="K40" s="51">
        <f t="shared" si="3"/>
        <v>16.514456476895408</v>
      </c>
      <c r="L40" s="51"/>
      <c r="O40" s="6"/>
      <c r="P40" s="73" t="s">
        <v>127</v>
      </c>
      <c r="Q40" s="2"/>
      <c r="R40" s="2"/>
      <c r="S40" s="2"/>
      <c r="T40" s="2"/>
      <c r="U40" s="2"/>
      <c r="V40" s="73" t="s">
        <v>128</v>
      </c>
      <c r="W40" s="2"/>
      <c r="X40" s="7"/>
    </row>
    <row r="41" spans="2:24" x14ac:dyDescent="0.25">
      <c r="C41" s="268"/>
      <c r="D41" s="54">
        <v>15</v>
      </c>
      <c r="E41" s="60">
        <f>$D$5/SQRT(D41*$C39)</f>
        <v>219.29639552648621</v>
      </c>
      <c r="F41" s="60">
        <f t="shared" si="0"/>
        <v>3289.445932897293</v>
      </c>
      <c r="G41" s="61">
        <f t="shared" si="1"/>
        <v>14.301938838683883</v>
      </c>
      <c r="H41" s="54">
        <v>15</v>
      </c>
      <c r="I41" s="60">
        <f>$H$5/SQRT(H41*$C39)</f>
        <v>381.38503569823689</v>
      </c>
      <c r="J41" s="60">
        <f t="shared" si="2"/>
        <v>5720.7755354735536</v>
      </c>
      <c r="K41" s="55">
        <f t="shared" si="3"/>
        <v>14.301938838683885</v>
      </c>
      <c r="L41" s="51"/>
      <c r="O41" s="80">
        <f>+ABS($P$17-P41)</f>
        <v>0.79726495726495727</v>
      </c>
      <c r="P41" s="73">
        <v>0.88</v>
      </c>
      <c r="Q41" s="79">
        <f>+$P$17/P41-1</f>
        <v>-0.90598290598290598</v>
      </c>
      <c r="R41" s="2"/>
      <c r="S41" s="2"/>
      <c r="T41" s="2"/>
      <c r="U41" s="75">
        <f>+ABS($V$17-V41)</f>
        <v>0.5772649572649573</v>
      </c>
      <c r="V41" s="73">
        <v>0.66</v>
      </c>
      <c r="W41" s="79">
        <f>+$P$17/V41-1</f>
        <v>-0.87464387464387472</v>
      </c>
      <c r="X41" s="7"/>
    </row>
    <row r="42" spans="2:24" ht="15.75" thickBot="1" x14ac:dyDescent="0.3">
      <c r="C42" s="269"/>
      <c r="D42" s="57">
        <v>10</v>
      </c>
      <c r="E42" s="62">
        <f>$D$5/SQRT(D42*$C39)</f>
        <v>268.58213573572539</v>
      </c>
      <c r="F42" s="62">
        <f t="shared" si="0"/>
        <v>2685.8213573572539</v>
      </c>
      <c r="G42" s="63">
        <f t="shared" si="1"/>
        <v>11.677484162422843</v>
      </c>
      <c r="H42" s="57">
        <v>10</v>
      </c>
      <c r="I42" s="62">
        <f>$H$5/SQRT(H42*$C39)</f>
        <v>467.09936649691377</v>
      </c>
      <c r="J42" s="62">
        <f t="shared" si="2"/>
        <v>4670.9936649691381</v>
      </c>
      <c r="K42" s="58">
        <f t="shared" si="3"/>
        <v>11.677484162422845</v>
      </c>
      <c r="L42" s="51"/>
      <c r="O42" s="80">
        <f>+ABS($P$17-P42)</f>
        <v>0.35726495726495727</v>
      </c>
      <c r="P42" s="73">
        <v>0.44</v>
      </c>
      <c r="Q42" s="79">
        <f t="shared" ref="Q42:Q45" si="16">+$P$17/P42-1</f>
        <v>-0.81196581196581197</v>
      </c>
      <c r="R42" s="2"/>
      <c r="S42" s="2"/>
      <c r="T42" s="2"/>
      <c r="U42" s="75">
        <f t="shared" ref="U42:U45" si="17">+ABS($V$17-V42)</f>
        <v>0.46726495726495731</v>
      </c>
      <c r="V42" s="73">
        <v>0.55000000000000004</v>
      </c>
      <c r="W42" s="79">
        <f t="shared" ref="W42:W45" si="18">+$P$17/V42-1</f>
        <v>-0.84957264957264966</v>
      </c>
      <c r="X42" s="7"/>
    </row>
    <row r="43" spans="2:24" x14ac:dyDescent="0.25">
      <c r="C43" s="264">
        <f>(E$3/4)</f>
        <v>5.5E-2</v>
      </c>
      <c r="D43" s="48">
        <v>30</v>
      </c>
      <c r="E43" s="49">
        <f>$D$5/SQRT(D43*$C43)</f>
        <v>179.05475715715028</v>
      </c>
      <c r="F43" s="49">
        <f t="shared" si="0"/>
        <v>5371.6427147145087</v>
      </c>
      <c r="G43" s="50">
        <f t="shared" si="1"/>
        <v>23.354968324845689</v>
      </c>
      <c r="H43" s="48">
        <v>30</v>
      </c>
      <c r="I43" s="49">
        <f>$H$5/SQRT(H43*$C43)</f>
        <v>311.39957766460918</v>
      </c>
      <c r="J43" s="49">
        <f t="shared" si="2"/>
        <v>9341.9873299382762</v>
      </c>
      <c r="K43" s="49">
        <f t="shared" si="3"/>
        <v>23.354968324845689</v>
      </c>
      <c r="L43" s="51"/>
      <c r="O43" s="80">
        <f>+ABS($P$17-P43)</f>
        <v>0.24726495726495729</v>
      </c>
      <c r="P43" s="73">
        <v>0.33</v>
      </c>
      <c r="Q43" s="79">
        <f t="shared" si="16"/>
        <v>-0.74928774928774933</v>
      </c>
      <c r="R43" s="2"/>
      <c r="S43" s="2"/>
      <c r="T43" s="2"/>
      <c r="U43" s="75">
        <f t="shared" si="17"/>
        <v>2.7264957264957271E-2</v>
      </c>
      <c r="V43" s="73">
        <v>0.11</v>
      </c>
      <c r="W43" s="79">
        <f t="shared" si="18"/>
        <v>-0.24786324786324787</v>
      </c>
      <c r="X43" s="7"/>
    </row>
    <row r="44" spans="2:24" x14ac:dyDescent="0.25">
      <c r="B44">
        <v>10</v>
      </c>
      <c r="C44" s="265"/>
      <c r="D44" s="52">
        <v>20</v>
      </c>
      <c r="E44" s="51">
        <f>$D$5/SQRT(D44*$C43)</f>
        <v>219.29639552648621</v>
      </c>
      <c r="F44" s="51">
        <f t="shared" si="0"/>
        <v>4385.9279105297246</v>
      </c>
      <c r="G44" s="53">
        <f t="shared" si="1"/>
        <v>19.069251784911845</v>
      </c>
      <c r="H44" s="52">
        <v>20</v>
      </c>
      <c r="I44" s="51">
        <f>$H$5/SQRT(H44*$C43)</f>
        <v>381.38503569823689</v>
      </c>
      <c r="J44" s="51">
        <f t="shared" si="2"/>
        <v>7627.7007139647376</v>
      </c>
      <c r="K44" s="51">
        <f t="shared" si="3"/>
        <v>19.069251784911845</v>
      </c>
      <c r="L44" s="51"/>
      <c r="O44" s="80">
        <f t="shared" ref="O44:O45" si="19">+ABS($P$17-P44)</f>
        <v>0.21056495726495728</v>
      </c>
      <c r="P44" s="73">
        <v>0.29330000000000001</v>
      </c>
      <c r="Q44" s="79">
        <f t="shared" si="16"/>
        <v>-0.71791666302406165</v>
      </c>
      <c r="R44" s="2"/>
      <c r="S44" s="2"/>
      <c r="T44" s="2"/>
      <c r="U44" s="75">
        <f t="shared" si="17"/>
        <v>9.4350427350427257E-3</v>
      </c>
      <c r="V44" s="73">
        <v>7.3300000000000004E-2</v>
      </c>
      <c r="W44" s="79">
        <f t="shared" si="18"/>
        <v>0.12871818192418449</v>
      </c>
      <c r="X44" s="7"/>
    </row>
    <row r="45" spans="2:24" ht="15.75" thickBot="1" x14ac:dyDescent="0.3">
      <c r="C45" s="265"/>
      <c r="D45" s="54">
        <v>15</v>
      </c>
      <c r="E45" s="60">
        <f>$D$5/SQRT(D45*$C43)</f>
        <v>253.22166597906295</v>
      </c>
      <c r="F45" s="60">
        <f t="shared" si="0"/>
        <v>3798.3249896859443</v>
      </c>
      <c r="G45" s="61">
        <f t="shared" si="1"/>
        <v>16.514456476895411</v>
      </c>
      <c r="H45" s="54">
        <v>15</v>
      </c>
      <c r="I45" s="60">
        <f>$H$5/SQRT(H45*$C43)</f>
        <v>440.38550605054428</v>
      </c>
      <c r="J45" s="60">
        <f t="shared" si="2"/>
        <v>6605.7825907581646</v>
      </c>
      <c r="K45" s="55">
        <f t="shared" si="3"/>
        <v>16.514456476895411</v>
      </c>
      <c r="L45" s="51"/>
      <c r="O45" s="82">
        <f t="shared" si="19"/>
        <v>0.13726495726495727</v>
      </c>
      <c r="P45" s="86">
        <v>0.22</v>
      </c>
      <c r="Q45" s="84">
        <f t="shared" si="16"/>
        <v>-0.62393162393162394</v>
      </c>
      <c r="R45" s="71"/>
      <c r="S45" s="71"/>
      <c r="T45" s="71"/>
      <c r="U45" s="85">
        <f t="shared" si="17"/>
        <v>2.7735042735042729E-2</v>
      </c>
      <c r="V45" s="86">
        <v>5.5E-2</v>
      </c>
      <c r="W45" s="84">
        <f t="shared" si="18"/>
        <v>0.50427350427350426</v>
      </c>
      <c r="X45" s="8"/>
    </row>
    <row r="46" spans="2:24" ht="15.75" thickBot="1" x14ac:dyDescent="0.3">
      <c r="C46" s="266"/>
      <c r="D46" s="57">
        <v>10</v>
      </c>
      <c r="E46" s="62">
        <f>$D$5/SQRT(D46*$C43)</f>
        <v>310.13193673309132</v>
      </c>
      <c r="F46" s="62">
        <f t="shared" si="0"/>
        <v>3101.3193673309133</v>
      </c>
      <c r="G46" s="63">
        <f t="shared" si="1"/>
        <v>13.48399724926484</v>
      </c>
      <c r="H46" s="57">
        <v>10</v>
      </c>
      <c r="I46" s="62">
        <f>$H$5/SQRT(H46*$C43)</f>
        <v>539.3598899705936</v>
      </c>
      <c r="J46" s="62">
        <f t="shared" si="2"/>
        <v>5393.5988997059358</v>
      </c>
      <c r="K46" s="58">
        <f t="shared" si="3"/>
        <v>13.483997249264839</v>
      </c>
      <c r="L46" s="51"/>
    </row>
    <row r="47" spans="2:24" x14ac:dyDescent="0.25">
      <c r="C47" s="267">
        <f>E$3/3</f>
        <v>7.3333333333333334E-2</v>
      </c>
      <c r="D47" s="70">
        <v>30</v>
      </c>
      <c r="E47" s="49"/>
      <c r="F47" s="49"/>
      <c r="G47" s="50"/>
      <c r="H47" s="48">
        <v>30</v>
      </c>
      <c r="I47" s="49">
        <f>$D$5/SQRT(H47*$C47)</f>
        <v>155.06596836654566</v>
      </c>
      <c r="J47" s="49">
        <f t="shared" si="2"/>
        <v>4651.9790509963696</v>
      </c>
      <c r="K47" s="49">
        <f t="shared" si="3"/>
        <v>11.629947627490925</v>
      </c>
      <c r="L47" s="51"/>
      <c r="N47">
        <f>220/SQRT(3)</f>
        <v>127.01705922171767</v>
      </c>
    </row>
    <row r="48" spans="2:24" ht="15.75" thickBot="1" x14ac:dyDescent="0.3">
      <c r="B48">
        <v>11</v>
      </c>
      <c r="C48" s="268"/>
      <c r="D48" s="64">
        <v>20</v>
      </c>
      <c r="E48" s="51"/>
      <c r="F48" s="51"/>
      <c r="G48" s="53"/>
      <c r="H48" s="52">
        <v>20</v>
      </c>
      <c r="I48" s="51">
        <f>$D$5/SQRT(H48*$C47)</f>
        <v>189.9162494842972</v>
      </c>
      <c r="J48" s="51">
        <f t="shared" si="2"/>
        <v>3798.3249896859438</v>
      </c>
      <c r="K48" s="51">
        <f t="shared" si="3"/>
        <v>9.4958124742148602</v>
      </c>
      <c r="L48" s="51"/>
    </row>
    <row r="49" spans="3:19" ht="15.75" thickBot="1" x14ac:dyDescent="0.3">
      <c r="C49" s="268"/>
      <c r="D49" s="66">
        <v>15</v>
      </c>
      <c r="E49" s="60"/>
      <c r="F49" s="60"/>
      <c r="G49" s="61"/>
      <c r="H49" s="54">
        <v>15</v>
      </c>
      <c r="I49" s="60">
        <f>$D$5/SQRT(H49*$C47)</f>
        <v>219.29639552648621</v>
      </c>
      <c r="J49" s="60">
        <f t="shared" si="2"/>
        <v>3289.445932897293</v>
      </c>
      <c r="K49" s="55">
        <f t="shared" si="3"/>
        <v>8.2236148322432321</v>
      </c>
      <c r="L49" s="51"/>
      <c r="P49" s="257">
        <v>-0.33</v>
      </c>
      <c r="Q49" s="255"/>
      <c r="R49" s="255"/>
      <c r="S49" s="256"/>
    </row>
    <row r="50" spans="3:19" ht="15.75" thickBot="1" x14ac:dyDescent="0.3">
      <c r="C50" s="269"/>
      <c r="D50" s="68">
        <v>10</v>
      </c>
      <c r="E50" s="62"/>
      <c r="F50" s="62"/>
      <c r="G50" s="63"/>
      <c r="H50" s="57">
        <v>10</v>
      </c>
      <c r="I50" s="62">
        <f>$D$5/SQRT(H50*$C47)</f>
        <v>268.58213573572539</v>
      </c>
      <c r="J50" s="62">
        <f t="shared" si="2"/>
        <v>2685.8213573572539</v>
      </c>
      <c r="K50" s="58">
        <f t="shared" si="3"/>
        <v>6.7145533933931345</v>
      </c>
      <c r="L50" s="51"/>
      <c r="P50" s="6"/>
      <c r="Q50" s="2"/>
      <c r="R50" s="90">
        <f>IF(OR(Q53/Q51-1&lt;0,Q53/Q51-1&gt;0.33),"",Q53)</f>
        <v>0.22</v>
      </c>
      <c r="S50" s="7"/>
    </row>
    <row r="51" spans="3:19" x14ac:dyDescent="0.25">
      <c r="P51" s="80"/>
      <c r="Q51" s="76">
        <f>'DEVImulti calculation'!$D$18</f>
        <v>0.16547008547008546</v>
      </c>
      <c r="R51" s="89"/>
      <c r="S51" s="98">
        <f>Q51/Q53-1</f>
        <v>-0.24786324786324787</v>
      </c>
    </row>
    <row r="52" spans="3:19" x14ac:dyDescent="0.25">
      <c r="P52" s="6"/>
      <c r="Q52" s="92" t="s">
        <v>142</v>
      </c>
      <c r="R52" s="2"/>
      <c r="S52" s="7"/>
    </row>
    <row r="53" spans="3:19" ht="15.75" thickBot="1" x14ac:dyDescent="0.3">
      <c r="P53" s="82"/>
      <c r="Q53" s="99">
        <v>0.22</v>
      </c>
      <c r="R53" s="93"/>
      <c r="S53" s="8"/>
    </row>
    <row r="54" spans="3:19" ht="15.75" thickBot="1" x14ac:dyDescent="0.3"/>
    <row r="55" spans="3:19" ht="15.75" thickBot="1" x14ac:dyDescent="0.3">
      <c r="P55" s="257">
        <v>0.1</v>
      </c>
      <c r="Q55" s="255"/>
      <c r="R55" s="255"/>
      <c r="S55" s="256"/>
    </row>
    <row r="56" spans="3:19" x14ac:dyDescent="0.25">
      <c r="P56" s="94"/>
      <c r="Q56" s="78"/>
      <c r="R56" s="97" t="str">
        <f>IF(OR(Q53/Q51-1&lt;-0.1,Q53/Q51-1&gt;0),"",Q53)</f>
        <v/>
      </c>
      <c r="S56" s="95"/>
    </row>
    <row r="57" spans="3:19" x14ac:dyDescent="0.25">
      <c r="P57" s="6"/>
      <c r="Q57" s="92" t="s">
        <v>142</v>
      </c>
      <c r="R57" s="2"/>
      <c r="S57" s="98">
        <f>Q51/Q58-1</f>
        <v>-0.24786324786324787</v>
      </c>
    </row>
    <row r="58" spans="3:19" ht="15.75" thickBot="1" x14ac:dyDescent="0.3">
      <c r="P58" s="96"/>
      <c r="Q58" s="99">
        <v>0.22</v>
      </c>
      <c r="R58" s="71"/>
      <c r="S58" s="8"/>
    </row>
  </sheetData>
  <mergeCells count="22">
    <mergeCell ref="C15:C18"/>
    <mergeCell ref="C4:C5"/>
    <mergeCell ref="D5:E5"/>
    <mergeCell ref="H5:I5"/>
    <mergeCell ref="C7:C10"/>
    <mergeCell ref="C11:C14"/>
    <mergeCell ref="C43:C46"/>
    <mergeCell ref="C47:C50"/>
    <mergeCell ref="C19:C22"/>
    <mergeCell ref="C23:C26"/>
    <mergeCell ref="C27:C30"/>
    <mergeCell ref="C31:C34"/>
    <mergeCell ref="C35:C38"/>
    <mergeCell ref="C39:C42"/>
    <mergeCell ref="P55:S55"/>
    <mergeCell ref="O3:X3"/>
    <mergeCell ref="O25:X25"/>
    <mergeCell ref="O26:X26"/>
    <mergeCell ref="O37:X37"/>
    <mergeCell ref="P49:S49"/>
    <mergeCell ref="O4:X4"/>
    <mergeCell ref="O15:X1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8"/>
  <sheetViews>
    <sheetView workbookViewId="0">
      <selection activeCell="R59" sqref="R59"/>
    </sheetView>
  </sheetViews>
  <sheetFormatPr defaultRowHeight="15" x14ac:dyDescent="0.25"/>
  <cols>
    <col min="1" max="1" width="11.28515625" customWidth="1"/>
    <col min="2" max="2" width="11.85546875" customWidth="1"/>
    <col min="3" max="3" width="12.28515625" customWidth="1"/>
    <col min="4" max="4" width="7.85546875" customWidth="1"/>
    <col min="5" max="5" width="6.7109375" customWidth="1"/>
    <col min="6" max="6" width="8.140625" customWidth="1"/>
    <col min="7" max="7" width="6.28515625" customWidth="1"/>
    <col min="8" max="8" width="7.42578125" customWidth="1"/>
    <col min="9" max="9" width="8.28515625" customWidth="1"/>
    <col min="10" max="10" width="7.7109375" customWidth="1"/>
    <col min="11" max="11" width="6.42578125" customWidth="1"/>
    <col min="12" max="12" width="2.85546875" customWidth="1"/>
    <col min="13" max="13" width="11.28515625" customWidth="1"/>
    <col min="14" max="14" width="7.85546875" customWidth="1"/>
    <col min="15" max="15" width="7.28515625" customWidth="1"/>
    <col min="16" max="16" width="7.5703125" customWidth="1"/>
    <col min="17" max="17" width="6.5703125" bestFit="1" customWidth="1"/>
    <col min="18" max="18" width="8.42578125" customWidth="1"/>
    <col min="19" max="19" width="8.140625" bestFit="1" customWidth="1"/>
    <col min="20" max="20" width="7.85546875" customWidth="1"/>
    <col min="21" max="21" width="6.28515625" customWidth="1"/>
    <col min="257" max="257" width="11.28515625" customWidth="1"/>
    <col min="258" max="258" width="11.85546875" customWidth="1"/>
    <col min="259" max="259" width="12.28515625" customWidth="1"/>
    <col min="260" max="260" width="7.85546875" customWidth="1"/>
    <col min="261" max="261" width="6.7109375" customWidth="1"/>
    <col min="262" max="262" width="8.140625" customWidth="1"/>
    <col min="263" max="263" width="6.28515625" customWidth="1"/>
    <col min="264" max="264" width="7.42578125" customWidth="1"/>
    <col min="265" max="265" width="8.28515625" customWidth="1"/>
    <col min="266" max="266" width="7.7109375" customWidth="1"/>
    <col min="267" max="267" width="6.42578125" customWidth="1"/>
    <col min="268" max="268" width="2.85546875" customWidth="1"/>
    <col min="269" max="269" width="11.28515625" customWidth="1"/>
    <col min="270" max="270" width="7.85546875" customWidth="1"/>
    <col min="271" max="271" width="7.28515625" customWidth="1"/>
    <col min="272" max="272" width="7.5703125" customWidth="1"/>
    <col min="273" max="273" width="5.7109375" customWidth="1"/>
    <col min="274" max="274" width="8.42578125" customWidth="1"/>
    <col min="275" max="275" width="7.7109375" customWidth="1"/>
    <col min="276" max="276" width="7.85546875" customWidth="1"/>
    <col min="277" max="277" width="6.28515625" customWidth="1"/>
    <col min="513" max="513" width="11.28515625" customWidth="1"/>
    <col min="514" max="514" width="11.85546875" customWidth="1"/>
    <col min="515" max="515" width="12.28515625" customWidth="1"/>
    <col min="516" max="516" width="7.85546875" customWidth="1"/>
    <col min="517" max="517" width="6.7109375" customWidth="1"/>
    <col min="518" max="518" width="8.140625" customWidth="1"/>
    <col min="519" max="519" width="6.28515625" customWidth="1"/>
    <col min="520" max="520" width="7.42578125" customWidth="1"/>
    <col min="521" max="521" width="8.28515625" customWidth="1"/>
    <col min="522" max="522" width="7.7109375" customWidth="1"/>
    <col min="523" max="523" width="6.42578125" customWidth="1"/>
    <col min="524" max="524" width="2.85546875" customWidth="1"/>
    <col min="525" max="525" width="11.28515625" customWidth="1"/>
    <col min="526" max="526" width="7.85546875" customWidth="1"/>
    <col min="527" max="527" width="7.28515625" customWidth="1"/>
    <col min="528" max="528" width="7.5703125" customWidth="1"/>
    <col min="529" max="529" width="5.7109375" customWidth="1"/>
    <col min="530" max="530" width="8.42578125" customWidth="1"/>
    <col min="531" max="531" width="7.7109375" customWidth="1"/>
    <col min="532" max="532" width="7.85546875" customWidth="1"/>
    <col min="533" max="533" width="6.28515625" customWidth="1"/>
    <col min="769" max="769" width="11.28515625" customWidth="1"/>
    <col min="770" max="770" width="11.85546875" customWidth="1"/>
    <col min="771" max="771" width="12.28515625" customWidth="1"/>
    <col min="772" max="772" width="7.85546875" customWidth="1"/>
    <col min="773" max="773" width="6.7109375" customWidth="1"/>
    <col min="774" max="774" width="8.140625" customWidth="1"/>
    <col min="775" max="775" width="6.28515625" customWidth="1"/>
    <col min="776" max="776" width="7.42578125" customWidth="1"/>
    <col min="777" max="777" width="8.28515625" customWidth="1"/>
    <col min="778" max="778" width="7.7109375" customWidth="1"/>
    <col min="779" max="779" width="6.42578125" customWidth="1"/>
    <col min="780" max="780" width="2.85546875" customWidth="1"/>
    <col min="781" max="781" width="11.28515625" customWidth="1"/>
    <col min="782" max="782" width="7.85546875" customWidth="1"/>
    <col min="783" max="783" width="7.28515625" customWidth="1"/>
    <col min="784" max="784" width="7.5703125" customWidth="1"/>
    <col min="785" max="785" width="5.7109375" customWidth="1"/>
    <col min="786" max="786" width="8.42578125" customWidth="1"/>
    <col min="787" max="787" width="7.7109375" customWidth="1"/>
    <col min="788" max="788" width="7.85546875" customWidth="1"/>
    <col min="789" max="789" width="6.28515625" customWidth="1"/>
    <col min="1025" max="1025" width="11.28515625" customWidth="1"/>
    <col min="1026" max="1026" width="11.85546875" customWidth="1"/>
    <col min="1027" max="1027" width="12.28515625" customWidth="1"/>
    <col min="1028" max="1028" width="7.85546875" customWidth="1"/>
    <col min="1029" max="1029" width="6.7109375" customWidth="1"/>
    <col min="1030" max="1030" width="8.140625" customWidth="1"/>
    <col min="1031" max="1031" width="6.28515625" customWidth="1"/>
    <col min="1032" max="1032" width="7.42578125" customWidth="1"/>
    <col min="1033" max="1033" width="8.28515625" customWidth="1"/>
    <col min="1034" max="1034" width="7.7109375" customWidth="1"/>
    <col min="1035" max="1035" width="6.42578125" customWidth="1"/>
    <col min="1036" max="1036" width="2.85546875" customWidth="1"/>
    <col min="1037" max="1037" width="11.28515625" customWidth="1"/>
    <col min="1038" max="1038" width="7.85546875" customWidth="1"/>
    <col min="1039" max="1039" width="7.28515625" customWidth="1"/>
    <col min="1040" max="1040" width="7.5703125" customWidth="1"/>
    <col min="1041" max="1041" width="5.7109375" customWidth="1"/>
    <col min="1042" max="1042" width="8.42578125" customWidth="1"/>
    <col min="1043" max="1043" width="7.7109375" customWidth="1"/>
    <col min="1044" max="1044" width="7.85546875" customWidth="1"/>
    <col min="1045" max="1045" width="6.28515625" customWidth="1"/>
    <col min="1281" max="1281" width="11.28515625" customWidth="1"/>
    <col min="1282" max="1282" width="11.85546875" customWidth="1"/>
    <col min="1283" max="1283" width="12.28515625" customWidth="1"/>
    <col min="1284" max="1284" width="7.85546875" customWidth="1"/>
    <col min="1285" max="1285" width="6.7109375" customWidth="1"/>
    <col min="1286" max="1286" width="8.140625" customWidth="1"/>
    <col min="1287" max="1287" width="6.28515625" customWidth="1"/>
    <col min="1288" max="1288" width="7.42578125" customWidth="1"/>
    <col min="1289" max="1289" width="8.28515625" customWidth="1"/>
    <col min="1290" max="1290" width="7.7109375" customWidth="1"/>
    <col min="1291" max="1291" width="6.42578125" customWidth="1"/>
    <col min="1292" max="1292" width="2.85546875" customWidth="1"/>
    <col min="1293" max="1293" width="11.28515625" customWidth="1"/>
    <col min="1294" max="1294" width="7.85546875" customWidth="1"/>
    <col min="1295" max="1295" width="7.28515625" customWidth="1"/>
    <col min="1296" max="1296" width="7.5703125" customWidth="1"/>
    <col min="1297" max="1297" width="5.7109375" customWidth="1"/>
    <col min="1298" max="1298" width="8.42578125" customWidth="1"/>
    <col min="1299" max="1299" width="7.7109375" customWidth="1"/>
    <col min="1300" max="1300" width="7.85546875" customWidth="1"/>
    <col min="1301" max="1301" width="6.28515625" customWidth="1"/>
    <col min="1537" max="1537" width="11.28515625" customWidth="1"/>
    <col min="1538" max="1538" width="11.85546875" customWidth="1"/>
    <col min="1539" max="1539" width="12.28515625" customWidth="1"/>
    <col min="1540" max="1540" width="7.85546875" customWidth="1"/>
    <col min="1541" max="1541" width="6.7109375" customWidth="1"/>
    <col min="1542" max="1542" width="8.140625" customWidth="1"/>
    <col min="1543" max="1543" width="6.28515625" customWidth="1"/>
    <col min="1544" max="1544" width="7.42578125" customWidth="1"/>
    <col min="1545" max="1545" width="8.28515625" customWidth="1"/>
    <col min="1546" max="1546" width="7.7109375" customWidth="1"/>
    <col min="1547" max="1547" width="6.42578125" customWidth="1"/>
    <col min="1548" max="1548" width="2.85546875" customWidth="1"/>
    <col min="1549" max="1549" width="11.28515625" customWidth="1"/>
    <col min="1550" max="1550" width="7.85546875" customWidth="1"/>
    <col min="1551" max="1551" width="7.28515625" customWidth="1"/>
    <col min="1552" max="1552" width="7.5703125" customWidth="1"/>
    <col min="1553" max="1553" width="5.7109375" customWidth="1"/>
    <col min="1554" max="1554" width="8.42578125" customWidth="1"/>
    <col min="1555" max="1555" width="7.7109375" customWidth="1"/>
    <col min="1556" max="1556" width="7.85546875" customWidth="1"/>
    <col min="1557" max="1557" width="6.28515625" customWidth="1"/>
    <col min="1793" max="1793" width="11.28515625" customWidth="1"/>
    <col min="1794" max="1794" width="11.85546875" customWidth="1"/>
    <col min="1795" max="1795" width="12.28515625" customWidth="1"/>
    <col min="1796" max="1796" width="7.85546875" customWidth="1"/>
    <col min="1797" max="1797" width="6.7109375" customWidth="1"/>
    <col min="1798" max="1798" width="8.140625" customWidth="1"/>
    <col min="1799" max="1799" width="6.28515625" customWidth="1"/>
    <col min="1800" max="1800" width="7.42578125" customWidth="1"/>
    <col min="1801" max="1801" width="8.28515625" customWidth="1"/>
    <col min="1802" max="1802" width="7.7109375" customWidth="1"/>
    <col min="1803" max="1803" width="6.42578125" customWidth="1"/>
    <col min="1804" max="1804" width="2.85546875" customWidth="1"/>
    <col min="1805" max="1805" width="11.28515625" customWidth="1"/>
    <col min="1806" max="1806" width="7.85546875" customWidth="1"/>
    <col min="1807" max="1807" width="7.28515625" customWidth="1"/>
    <col min="1808" max="1808" width="7.5703125" customWidth="1"/>
    <col min="1809" max="1809" width="5.7109375" customWidth="1"/>
    <col min="1810" max="1810" width="8.42578125" customWidth="1"/>
    <col min="1811" max="1811" width="7.7109375" customWidth="1"/>
    <col min="1812" max="1812" width="7.85546875" customWidth="1"/>
    <col min="1813" max="1813" width="6.28515625" customWidth="1"/>
    <col min="2049" max="2049" width="11.28515625" customWidth="1"/>
    <col min="2050" max="2050" width="11.85546875" customWidth="1"/>
    <col min="2051" max="2051" width="12.28515625" customWidth="1"/>
    <col min="2052" max="2052" width="7.85546875" customWidth="1"/>
    <col min="2053" max="2053" width="6.7109375" customWidth="1"/>
    <col min="2054" max="2054" width="8.140625" customWidth="1"/>
    <col min="2055" max="2055" width="6.28515625" customWidth="1"/>
    <col min="2056" max="2056" width="7.42578125" customWidth="1"/>
    <col min="2057" max="2057" width="8.28515625" customWidth="1"/>
    <col min="2058" max="2058" width="7.7109375" customWidth="1"/>
    <col min="2059" max="2059" width="6.42578125" customWidth="1"/>
    <col min="2060" max="2060" width="2.85546875" customWidth="1"/>
    <col min="2061" max="2061" width="11.28515625" customWidth="1"/>
    <col min="2062" max="2062" width="7.85546875" customWidth="1"/>
    <col min="2063" max="2063" width="7.28515625" customWidth="1"/>
    <col min="2064" max="2064" width="7.5703125" customWidth="1"/>
    <col min="2065" max="2065" width="5.7109375" customWidth="1"/>
    <col min="2066" max="2066" width="8.42578125" customWidth="1"/>
    <col min="2067" max="2067" width="7.7109375" customWidth="1"/>
    <col min="2068" max="2068" width="7.85546875" customWidth="1"/>
    <col min="2069" max="2069" width="6.28515625" customWidth="1"/>
    <col min="2305" max="2305" width="11.28515625" customWidth="1"/>
    <col min="2306" max="2306" width="11.85546875" customWidth="1"/>
    <col min="2307" max="2307" width="12.28515625" customWidth="1"/>
    <col min="2308" max="2308" width="7.85546875" customWidth="1"/>
    <col min="2309" max="2309" width="6.7109375" customWidth="1"/>
    <col min="2310" max="2310" width="8.140625" customWidth="1"/>
    <col min="2311" max="2311" width="6.28515625" customWidth="1"/>
    <col min="2312" max="2312" width="7.42578125" customWidth="1"/>
    <col min="2313" max="2313" width="8.28515625" customWidth="1"/>
    <col min="2314" max="2314" width="7.7109375" customWidth="1"/>
    <col min="2315" max="2315" width="6.42578125" customWidth="1"/>
    <col min="2316" max="2316" width="2.85546875" customWidth="1"/>
    <col min="2317" max="2317" width="11.28515625" customWidth="1"/>
    <col min="2318" max="2318" width="7.85546875" customWidth="1"/>
    <col min="2319" max="2319" width="7.28515625" customWidth="1"/>
    <col min="2320" max="2320" width="7.5703125" customWidth="1"/>
    <col min="2321" max="2321" width="5.7109375" customWidth="1"/>
    <col min="2322" max="2322" width="8.42578125" customWidth="1"/>
    <col min="2323" max="2323" width="7.7109375" customWidth="1"/>
    <col min="2324" max="2324" width="7.85546875" customWidth="1"/>
    <col min="2325" max="2325" width="6.28515625" customWidth="1"/>
    <col min="2561" max="2561" width="11.28515625" customWidth="1"/>
    <col min="2562" max="2562" width="11.85546875" customWidth="1"/>
    <col min="2563" max="2563" width="12.28515625" customWidth="1"/>
    <col min="2564" max="2564" width="7.85546875" customWidth="1"/>
    <col min="2565" max="2565" width="6.7109375" customWidth="1"/>
    <col min="2566" max="2566" width="8.140625" customWidth="1"/>
    <col min="2567" max="2567" width="6.28515625" customWidth="1"/>
    <col min="2568" max="2568" width="7.42578125" customWidth="1"/>
    <col min="2569" max="2569" width="8.28515625" customWidth="1"/>
    <col min="2570" max="2570" width="7.7109375" customWidth="1"/>
    <col min="2571" max="2571" width="6.42578125" customWidth="1"/>
    <col min="2572" max="2572" width="2.85546875" customWidth="1"/>
    <col min="2573" max="2573" width="11.28515625" customWidth="1"/>
    <col min="2574" max="2574" width="7.85546875" customWidth="1"/>
    <col min="2575" max="2575" width="7.28515625" customWidth="1"/>
    <col min="2576" max="2576" width="7.5703125" customWidth="1"/>
    <col min="2577" max="2577" width="5.7109375" customWidth="1"/>
    <col min="2578" max="2578" width="8.42578125" customWidth="1"/>
    <col min="2579" max="2579" width="7.7109375" customWidth="1"/>
    <col min="2580" max="2580" width="7.85546875" customWidth="1"/>
    <col min="2581" max="2581" width="6.28515625" customWidth="1"/>
    <col min="2817" max="2817" width="11.28515625" customWidth="1"/>
    <col min="2818" max="2818" width="11.85546875" customWidth="1"/>
    <col min="2819" max="2819" width="12.28515625" customWidth="1"/>
    <col min="2820" max="2820" width="7.85546875" customWidth="1"/>
    <col min="2821" max="2821" width="6.7109375" customWidth="1"/>
    <col min="2822" max="2822" width="8.140625" customWidth="1"/>
    <col min="2823" max="2823" width="6.28515625" customWidth="1"/>
    <col min="2824" max="2824" width="7.42578125" customWidth="1"/>
    <col min="2825" max="2825" width="8.28515625" customWidth="1"/>
    <col min="2826" max="2826" width="7.7109375" customWidth="1"/>
    <col min="2827" max="2827" width="6.42578125" customWidth="1"/>
    <col min="2828" max="2828" width="2.85546875" customWidth="1"/>
    <col min="2829" max="2829" width="11.28515625" customWidth="1"/>
    <col min="2830" max="2830" width="7.85546875" customWidth="1"/>
    <col min="2831" max="2831" width="7.28515625" customWidth="1"/>
    <col min="2832" max="2832" width="7.5703125" customWidth="1"/>
    <col min="2833" max="2833" width="5.7109375" customWidth="1"/>
    <col min="2834" max="2834" width="8.42578125" customWidth="1"/>
    <col min="2835" max="2835" width="7.7109375" customWidth="1"/>
    <col min="2836" max="2836" width="7.85546875" customWidth="1"/>
    <col min="2837" max="2837" width="6.28515625" customWidth="1"/>
    <col min="3073" max="3073" width="11.28515625" customWidth="1"/>
    <col min="3074" max="3074" width="11.85546875" customWidth="1"/>
    <col min="3075" max="3075" width="12.28515625" customWidth="1"/>
    <col min="3076" max="3076" width="7.85546875" customWidth="1"/>
    <col min="3077" max="3077" width="6.7109375" customWidth="1"/>
    <col min="3078" max="3078" width="8.140625" customWidth="1"/>
    <col min="3079" max="3079" width="6.28515625" customWidth="1"/>
    <col min="3080" max="3080" width="7.42578125" customWidth="1"/>
    <col min="3081" max="3081" width="8.28515625" customWidth="1"/>
    <col min="3082" max="3082" width="7.7109375" customWidth="1"/>
    <col min="3083" max="3083" width="6.42578125" customWidth="1"/>
    <col min="3084" max="3084" width="2.85546875" customWidth="1"/>
    <col min="3085" max="3085" width="11.28515625" customWidth="1"/>
    <col min="3086" max="3086" width="7.85546875" customWidth="1"/>
    <col min="3087" max="3087" width="7.28515625" customWidth="1"/>
    <col min="3088" max="3088" width="7.5703125" customWidth="1"/>
    <col min="3089" max="3089" width="5.7109375" customWidth="1"/>
    <col min="3090" max="3090" width="8.42578125" customWidth="1"/>
    <col min="3091" max="3091" width="7.7109375" customWidth="1"/>
    <col min="3092" max="3092" width="7.85546875" customWidth="1"/>
    <col min="3093" max="3093" width="6.28515625" customWidth="1"/>
    <col min="3329" max="3329" width="11.28515625" customWidth="1"/>
    <col min="3330" max="3330" width="11.85546875" customWidth="1"/>
    <col min="3331" max="3331" width="12.28515625" customWidth="1"/>
    <col min="3332" max="3332" width="7.85546875" customWidth="1"/>
    <col min="3333" max="3333" width="6.7109375" customWidth="1"/>
    <col min="3334" max="3334" width="8.140625" customWidth="1"/>
    <col min="3335" max="3335" width="6.28515625" customWidth="1"/>
    <col min="3336" max="3336" width="7.42578125" customWidth="1"/>
    <col min="3337" max="3337" width="8.28515625" customWidth="1"/>
    <col min="3338" max="3338" width="7.7109375" customWidth="1"/>
    <col min="3339" max="3339" width="6.42578125" customWidth="1"/>
    <col min="3340" max="3340" width="2.85546875" customWidth="1"/>
    <col min="3341" max="3341" width="11.28515625" customWidth="1"/>
    <col min="3342" max="3342" width="7.85546875" customWidth="1"/>
    <col min="3343" max="3343" width="7.28515625" customWidth="1"/>
    <col min="3344" max="3344" width="7.5703125" customWidth="1"/>
    <col min="3345" max="3345" width="5.7109375" customWidth="1"/>
    <col min="3346" max="3346" width="8.42578125" customWidth="1"/>
    <col min="3347" max="3347" width="7.7109375" customWidth="1"/>
    <col min="3348" max="3348" width="7.85546875" customWidth="1"/>
    <col min="3349" max="3349" width="6.28515625" customWidth="1"/>
    <col min="3585" max="3585" width="11.28515625" customWidth="1"/>
    <col min="3586" max="3586" width="11.85546875" customWidth="1"/>
    <col min="3587" max="3587" width="12.28515625" customWidth="1"/>
    <col min="3588" max="3588" width="7.85546875" customWidth="1"/>
    <col min="3589" max="3589" width="6.7109375" customWidth="1"/>
    <col min="3590" max="3590" width="8.140625" customWidth="1"/>
    <col min="3591" max="3591" width="6.28515625" customWidth="1"/>
    <col min="3592" max="3592" width="7.42578125" customWidth="1"/>
    <col min="3593" max="3593" width="8.28515625" customWidth="1"/>
    <col min="3594" max="3594" width="7.7109375" customWidth="1"/>
    <col min="3595" max="3595" width="6.42578125" customWidth="1"/>
    <col min="3596" max="3596" width="2.85546875" customWidth="1"/>
    <col min="3597" max="3597" width="11.28515625" customWidth="1"/>
    <col min="3598" max="3598" width="7.85546875" customWidth="1"/>
    <col min="3599" max="3599" width="7.28515625" customWidth="1"/>
    <col min="3600" max="3600" width="7.5703125" customWidth="1"/>
    <col min="3601" max="3601" width="5.7109375" customWidth="1"/>
    <col min="3602" max="3602" width="8.42578125" customWidth="1"/>
    <col min="3603" max="3603" width="7.7109375" customWidth="1"/>
    <col min="3604" max="3604" width="7.85546875" customWidth="1"/>
    <col min="3605" max="3605" width="6.28515625" customWidth="1"/>
    <col min="3841" max="3841" width="11.28515625" customWidth="1"/>
    <col min="3842" max="3842" width="11.85546875" customWidth="1"/>
    <col min="3843" max="3843" width="12.28515625" customWidth="1"/>
    <col min="3844" max="3844" width="7.85546875" customWidth="1"/>
    <col min="3845" max="3845" width="6.7109375" customWidth="1"/>
    <col min="3846" max="3846" width="8.140625" customWidth="1"/>
    <col min="3847" max="3847" width="6.28515625" customWidth="1"/>
    <col min="3848" max="3848" width="7.42578125" customWidth="1"/>
    <col min="3849" max="3849" width="8.28515625" customWidth="1"/>
    <col min="3850" max="3850" width="7.7109375" customWidth="1"/>
    <col min="3851" max="3851" width="6.42578125" customWidth="1"/>
    <col min="3852" max="3852" width="2.85546875" customWidth="1"/>
    <col min="3853" max="3853" width="11.28515625" customWidth="1"/>
    <col min="3854" max="3854" width="7.85546875" customWidth="1"/>
    <col min="3855" max="3855" width="7.28515625" customWidth="1"/>
    <col min="3856" max="3856" width="7.5703125" customWidth="1"/>
    <col min="3857" max="3857" width="5.7109375" customWidth="1"/>
    <col min="3858" max="3858" width="8.42578125" customWidth="1"/>
    <col min="3859" max="3859" width="7.7109375" customWidth="1"/>
    <col min="3860" max="3860" width="7.85546875" customWidth="1"/>
    <col min="3861" max="3861" width="6.28515625" customWidth="1"/>
    <col min="4097" max="4097" width="11.28515625" customWidth="1"/>
    <col min="4098" max="4098" width="11.85546875" customWidth="1"/>
    <col min="4099" max="4099" width="12.28515625" customWidth="1"/>
    <col min="4100" max="4100" width="7.85546875" customWidth="1"/>
    <col min="4101" max="4101" width="6.7109375" customWidth="1"/>
    <col min="4102" max="4102" width="8.140625" customWidth="1"/>
    <col min="4103" max="4103" width="6.28515625" customWidth="1"/>
    <col min="4104" max="4104" width="7.42578125" customWidth="1"/>
    <col min="4105" max="4105" width="8.28515625" customWidth="1"/>
    <col min="4106" max="4106" width="7.7109375" customWidth="1"/>
    <col min="4107" max="4107" width="6.42578125" customWidth="1"/>
    <col min="4108" max="4108" width="2.85546875" customWidth="1"/>
    <col min="4109" max="4109" width="11.28515625" customWidth="1"/>
    <col min="4110" max="4110" width="7.85546875" customWidth="1"/>
    <col min="4111" max="4111" width="7.28515625" customWidth="1"/>
    <col min="4112" max="4112" width="7.5703125" customWidth="1"/>
    <col min="4113" max="4113" width="5.7109375" customWidth="1"/>
    <col min="4114" max="4114" width="8.42578125" customWidth="1"/>
    <col min="4115" max="4115" width="7.7109375" customWidth="1"/>
    <col min="4116" max="4116" width="7.85546875" customWidth="1"/>
    <col min="4117" max="4117" width="6.28515625" customWidth="1"/>
    <col min="4353" max="4353" width="11.28515625" customWidth="1"/>
    <col min="4354" max="4354" width="11.85546875" customWidth="1"/>
    <col min="4355" max="4355" width="12.28515625" customWidth="1"/>
    <col min="4356" max="4356" width="7.85546875" customWidth="1"/>
    <col min="4357" max="4357" width="6.7109375" customWidth="1"/>
    <col min="4358" max="4358" width="8.140625" customWidth="1"/>
    <col min="4359" max="4359" width="6.28515625" customWidth="1"/>
    <col min="4360" max="4360" width="7.42578125" customWidth="1"/>
    <col min="4361" max="4361" width="8.28515625" customWidth="1"/>
    <col min="4362" max="4362" width="7.7109375" customWidth="1"/>
    <col min="4363" max="4363" width="6.42578125" customWidth="1"/>
    <col min="4364" max="4364" width="2.85546875" customWidth="1"/>
    <col min="4365" max="4365" width="11.28515625" customWidth="1"/>
    <col min="4366" max="4366" width="7.85546875" customWidth="1"/>
    <col min="4367" max="4367" width="7.28515625" customWidth="1"/>
    <col min="4368" max="4368" width="7.5703125" customWidth="1"/>
    <col min="4369" max="4369" width="5.7109375" customWidth="1"/>
    <col min="4370" max="4370" width="8.42578125" customWidth="1"/>
    <col min="4371" max="4371" width="7.7109375" customWidth="1"/>
    <col min="4372" max="4372" width="7.85546875" customWidth="1"/>
    <col min="4373" max="4373" width="6.28515625" customWidth="1"/>
    <col min="4609" max="4609" width="11.28515625" customWidth="1"/>
    <col min="4610" max="4610" width="11.85546875" customWidth="1"/>
    <col min="4611" max="4611" width="12.28515625" customWidth="1"/>
    <col min="4612" max="4612" width="7.85546875" customWidth="1"/>
    <col min="4613" max="4613" width="6.7109375" customWidth="1"/>
    <col min="4614" max="4614" width="8.140625" customWidth="1"/>
    <col min="4615" max="4615" width="6.28515625" customWidth="1"/>
    <col min="4616" max="4616" width="7.42578125" customWidth="1"/>
    <col min="4617" max="4617" width="8.28515625" customWidth="1"/>
    <col min="4618" max="4618" width="7.7109375" customWidth="1"/>
    <col min="4619" max="4619" width="6.42578125" customWidth="1"/>
    <col min="4620" max="4620" width="2.85546875" customWidth="1"/>
    <col min="4621" max="4621" width="11.28515625" customWidth="1"/>
    <col min="4622" max="4622" width="7.85546875" customWidth="1"/>
    <col min="4623" max="4623" width="7.28515625" customWidth="1"/>
    <col min="4624" max="4624" width="7.5703125" customWidth="1"/>
    <col min="4625" max="4625" width="5.7109375" customWidth="1"/>
    <col min="4626" max="4626" width="8.42578125" customWidth="1"/>
    <col min="4627" max="4627" width="7.7109375" customWidth="1"/>
    <col min="4628" max="4628" width="7.85546875" customWidth="1"/>
    <col min="4629" max="4629" width="6.28515625" customWidth="1"/>
    <col min="4865" max="4865" width="11.28515625" customWidth="1"/>
    <col min="4866" max="4866" width="11.85546875" customWidth="1"/>
    <col min="4867" max="4867" width="12.28515625" customWidth="1"/>
    <col min="4868" max="4868" width="7.85546875" customWidth="1"/>
    <col min="4869" max="4869" width="6.7109375" customWidth="1"/>
    <col min="4870" max="4870" width="8.140625" customWidth="1"/>
    <col min="4871" max="4871" width="6.28515625" customWidth="1"/>
    <col min="4872" max="4872" width="7.42578125" customWidth="1"/>
    <col min="4873" max="4873" width="8.28515625" customWidth="1"/>
    <col min="4874" max="4874" width="7.7109375" customWidth="1"/>
    <col min="4875" max="4875" width="6.42578125" customWidth="1"/>
    <col min="4876" max="4876" width="2.85546875" customWidth="1"/>
    <col min="4877" max="4877" width="11.28515625" customWidth="1"/>
    <col min="4878" max="4878" width="7.85546875" customWidth="1"/>
    <col min="4879" max="4879" width="7.28515625" customWidth="1"/>
    <col min="4880" max="4880" width="7.5703125" customWidth="1"/>
    <col min="4881" max="4881" width="5.7109375" customWidth="1"/>
    <col min="4882" max="4882" width="8.42578125" customWidth="1"/>
    <col min="4883" max="4883" width="7.7109375" customWidth="1"/>
    <col min="4884" max="4884" width="7.85546875" customWidth="1"/>
    <col min="4885" max="4885" width="6.28515625" customWidth="1"/>
    <col min="5121" max="5121" width="11.28515625" customWidth="1"/>
    <col min="5122" max="5122" width="11.85546875" customWidth="1"/>
    <col min="5123" max="5123" width="12.28515625" customWidth="1"/>
    <col min="5124" max="5124" width="7.85546875" customWidth="1"/>
    <col min="5125" max="5125" width="6.7109375" customWidth="1"/>
    <col min="5126" max="5126" width="8.140625" customWidth="1"/>
    <col min="5127" max="5127" width="6.28515625" customWidth="1"/>
    <col min="5128" max="5128" width="7.42578125" customWidth="1"/>
    <col min="5129" max="5129" width="8.28515625" customWidth="1"/>
    <col min="5130" max="5130" width="7.7109375" customWidth="1"/>
    <col min="5131" max="5131" width="6.42578125" customWidth="1"/>
    <col min="5132" max="5132" width="2.85546875" customWidth="1"/>
    <col min="5133" max="5133" width="11.28515625" customWidth="1"/>
    <col min="5134" max="5134" width="7.85546875" customWidth="1"/>
    <col min="5135" max="5135" width="7.28515625" customWidth="1"/>
    <col min="5136" max="5136" width="7.5703125" customWidth="1"/>
    <col min="5137" max="5137" width="5.7109375" customWidth="1"/>
    <col min="5138" max="5138" width="8.42578125" customWidth="1"/>
    <col min="5139" max="5139" width="7.7109375" customWidth="1"/>
    <col min="5140" max="5140" width="7.85546875" customWidth="1"/>
    <col min="5141" max="5141" width="6.28515625" customWidth="1"/>
    <col min="5377" max="5377" width="11.28515625" customWidth="1"/>
    <col min="5378" max="5378" width="11.85546875" customWidth="1"/>
    <col min="5379" max="5379" width="12.28515625" customWidth="1"/>
    <col min="5380" max="5380" width="7.85546875" customWidth="1"/>
    <col min="5381" max="5381" width="6.7109375" customWidth="1"/>
    <col min="5382" max="5382" width="8.140625" customWidth="1"/>
    <col min="5383" max="5383" width="6.28515625" customWidth="1"/>
    <col min="5384" max="5384" width="7.42578125" customWidth="1"/>
    <col min="5385" max="5385" width="8.28515625" customWidth="1"/>
    <col min="5386" max="5386" width="7.7109375" customWidth="1"/>
    <col min="5387" max="5387" width="6.42578125" customWidth="1"/>
    <col min="5388" max="5388" width="2.85546875" customWidth="1"/>
    <col min="5389" max="5389" width="11.28515625" customWidth="1"/>
    <col min="5390" max="5390" width="7.85546875" customWidth="1"/>
    <col min="5391" max="5391" width="7.28515625" customWidth="1"/>
    <col min="5392" max="5392" width="7.5703125" customWidth="1"/>
    <col min="5393" max="5393" width="5.7109375" customWidth="1"/>
    <col min="5394" max="5394" width="8.42578125" customWidth="1"/>
    <col min="5395" max="5395" width="7.7109375" customWidth="1"/>
    <col min="5396" max="5396" width="7.85546875" customWidth="1"/>
    <col min="5397" max="5397" width="6.28515625" customWidth="1"/>
    <col min="5633" max="5633" width="11.28515625" customWidth="1"/>
    <col min="5634" max="5634" width="11.85546875" customWidth="1"/>
    <col min="5635" max="5635" width="12.28515625" customWidth="1"/>
    <col min="5636" max="5636" width="7.85546875" customWidth="1"/>
    <col min="5637" max="5637" width="6.7109375" customWidth="1"/>
    <col min="5638" max="5638" width="8.140625" customWidth="1"/>
    <col min="5639" max="5639" width="6.28515625" customWidth="1"/>
    <col min="5640" max="5640" width="7.42578125" customWidth="1"/>
    <col min="5641" max="5641" width="8.28515625" customWidth="1"/>
    <col min="5642" max="5642" width="7.7109375" customWidth="1"/>
    <col min="5643" max="5643" width="6.42578125" customWidth="1"/>
    <col min="5644" max="5644" width="2.85546875" customWidth="1"/>
    <col min="5645" max="5645" width="11.28515625" customWidth="1"/>
    <col min="5646" max="5646" width="7.85546875" customWidth="1"/>
    <col min="5647" max="5647" width="7.28515625" customWidth="1"/>
    <col min="5648" max="5648" width="7.5703125" customWidth="1"/>
    <col min="5649" max="5649" width="5.7109375" customWidth="1"/>
    <col min="5650" max="5650" width="8.42578125" customWidth="1"/>
    <col min="5651" max="5651" width="7.7109375" customWidth="1"/>
    <col min="5652" max="5652" width="7.85546875" customWidth="1"/>
    <col min="5653" max="5653" width="6.28515625" customWidth="1"/>
    <col min="5889" max="5889" width="11.28515625" customWidth="1"/>
    <col min="5890" max="5890" width="11.85546875" customWidth="1"/>
    <col min="5891" max="5891" width="12.28515625" customWidth="1"/>
    <col min="5892" max="5892" width="7.85546875" customWidth="1"/>
    <col min="5893" max="5893" width="6.7109375" customWidth="1"/>
    <col min="5894" max="5894" width="8.140625" customWidth="1"/>
    <col min="5895" max="5895" width="6.28515625" customWidth="1"/>
    <col min="5896" max="5896" width="7.42578125" customWidth="1"/>
    <col min="5897" max="5897" width="8.28515625" customWidth="1"/>
    <col min="5898" max="5898" width="7.7109375" customWidth="1"/>
    <col min="5899" max="5899" width="6.42578125" customWidth="1"/>
    <col min="5900" max="5900" width="2.85546875" customWidth="1"/>
    <col min="5901" max="5901" width="11.28515625" customWidth="1"/>
    <col min="5902" max="5902" width="7.85546875" customWidth="1"/>
    <col min="5903" max="5903" width="7.28515625" customWidth="1"/>
    <col min="5904" max="5904" width="7.5703125" customWidth="1"/>
    <col min="5905" max="5905" width="5.7109375" customWidth="1"/>
    <col min="5906" max="5906" width="8.42578125" customWidth="1"/>
    <col min="5907" max="5907" width="7.7109375" customWidth="1"/>
    <col min="5908" max="5908" width="7.85546875" customWidth="1"/>
    <col min="5909" max="5909" width="6.28515625" customWidth="1"/>
    <col min="6145" max="6145" width="11.28515625" customWidth="1"/>
    <col min="6146" max="6146" width="11.85546875" customWidth="1"/>
    <col min="6147" max="6147" width="12.28515625" customWidth="1"/>
    <col min="6148" max="6148" width="7.85546875" customWidth="1"/>
    <col min="6149" max="6149" width="6.7109375" customWidth="1"/>
    <col min="6150" max="6150" width="8.140625" customWidth="1"/>
    <col min="6151" max="6151" width="6.28515625" customWidth="1"/>
    <col min="6152" max="6152" width="7.42578125" customWidth="1"/>
    <col min="6153" max="6153" width="8.28515625" customWidth="1"/>
    <col min="6154" max="6154" width="7.7109375" customWidth="1"/>
    <col min="6155" max="6155" width="6.42578125" customWidth="1"/>
    <col min="6156" max="6156" width="2.85546875" customWidth="1"/>
    <col min="6157" max="6157" width="11.28515625" customWidth="1"/>
    <col min="6158" max="6158" width="7.85546875" customWidth="1"/>
    <col min="6159" max="6159" width="7.28515625" customWidth="1"/>
    <col min="6160" max="6160" width="7.5703125" customWidth="1"/>
    <col min="6161" max="6161" width="5.7109375" customWidth="1"/>
    <col min="6162" max="6162" width="8.42578125" customWidth="1"/>
    <col min="6163" max="6163" width="7.7109375" customWidth="1"/>
    <col min="6164" max="6164" width="7.85546875" customWidth="1"/>
    <col min="6165" max="6165" width="6.28515625" customWidth="1"/>
    <col min="6401" max="6401" width="11.28515625" customWidth="1"/>
    <col min="6402" max="6402" width="11.85546875" customWidth="1"/>
    <col min="6403" max="6403" width="12.28515625" customWidth="1"/>
    <col min="6404" max="6404" width="7.85546875" customWidth="1"/>
    <col min="6405" max="6405" width="6.7109375" customWidth="1"/>
    <col min="6406" max="6406" width="8.140625" customWidth="1"/>
    <col min="6407" max="6407" width="6.28515625" customWidth="1"/>
    <col min="6408" max="6408" width="7.42578125" customWidth="1"/>
    <col min="6409" max="6409" width="8.28515625" customWidth="1"/>
    <col min="6410" max="6410" width="7.7109375" customWidth="1"/>
    <col min="6411" max="6411" width="6.42578125" customWidth="1"/>
    <col min="6412" max="6412" width="2.85546875" customWidth="1"/>
    <col min="6413" max="6413" width="11.28515625" customWidth="1"/>
    <col min="6414" max="6414" width="7.85546875" customWidth="1"/>
    <col min="6415" max="6415" width="7.28515625" customWidth="1"/>
    <col min="6416" max="6416" width="7.5703125" customWidth="1"/>
    <col min="6417" max="6417" width="5.7109375" customWidth="1"/>
    <col min="6418" max="6418" width="8.42578125" customWidth="1"/>
    <col min="6419" max="6419" width="7.7109375" customWidth="1"/>
    <col min="6420" max="6420" width="7.85546875" customWidth="1"/>
    <col min="6421" max="6421" width="6.28515625" customWidth="1"/>
    <col min="6657" max="6657" width="11.28515625" customWidth="1"/>
    <col min="6658" max="6658" width="11.85546875" customWidth="1"/>
    <col min="6659" max="6659" width="12.28515625" customWidth="1"/>
    <col min="6660" max="6660" width="7.85546875" customWidth="1"/>
    <col min="6661" max="6661" width="6.7109375" customWidth="1"/>
    <col min="6662" max="6662" width="8.140625" customWidth="1"/>
    <col min="6663" max="6663" width="6.28515625" customWidth="1"/>
    <col min="6664" max="6664" width="7.42578125" customWidth="1"/>
    <col min="6665" max="6665" width="8.28515625" customWidth="1"/>
    <col min="6666" max="6666" width="7.7109375" customWidth="1"/>
    <col min="6667" max="6667" width="6.42578125" customWidth="1"/>
    <col min="6668" max="6668" width="2.85546875" customWidth="1"/>
    <col min="6669" max="6669" width="11.28515625" customWidth="1"/>
    <col min="6670" max="6670" width="7.85546875" customWidth="1"/>
    <col min="6671" max="6671" width="7.28515625" customWidth="1"/>
    <col min="6672" max="6672" width="7.5703125" customWidth="1"/>
    <col min="6673" max="6673" width="5.7109375" customWidth="1"/>
    <col min="6674" max="6674" width="8.42578125" customWidth="1"/>
    <col min="6675" max="6675" width="7.7109375" customWidth="1"/>
    <col min="6676" max="6676" width="7.85546875" customWidth="1"/>
    <col min="6677" max="6677" width="6.28515625" customWidth="1"/>
    <col min="6913" max="6913" width="11.28515625" customWidth="1"/>
    <col min="6914" max="6914" width="11.85546875" customWidth="1"/>
    <col min="6915" max="6915" width="12.28515625" customWidth="1"/>
    <col min="6916" max="6916" width="7.85546875" customWidth="1"/>
    <col min="6917" max="6917" width="6.7109375" customWidth="1"/>
    <col min="6918" max="6918" width="8.140625" customWidth="1"/>
    <col min="6919" max="6919" width="6.28515625" customWidth="1"/>
    <col min="6920" max="6920" width="7.42578125" customWidth="1"/>
    <col min="6921" max="6921" width="8.28515625" customWidth="1"/>
    <col min="6922" max="6922" width="7.7109375" customWidth="1"/>
    <col min="6923" max="6923" width="6.42578125" customWidth="1"/>
    <col min="6924" max="6924" width="2.85546875" customWidth="1"/>
    <col min="6925" max="6925" width="11.28515625" customWidth="1"/>
    <col min="6926" max="6926" width="7.85546875" customWidth="1"/>
    <col min="6927" max="6927" width="7.28515625" customWidth="1"/>
    <col min="6928" max="6928" width="7.5703125" customWidth="1"/>
    <col min="6929" max="6929" width="5.7109375" customWidth="1"/>
    <col min="6930" max="6930" width="8.42578125" customWidth="1"/>
    <col min="6931" max="6931" width="7.7109375" customWidth="1"/>
    <col min="6932" max="6932" width="7.85546875" customWidth="1"/>
    <col min="6933" max="6933" width="6.28515625" customWidth="1"/>
    <col min="7169" max="7169" width="11.28515625" customWidth="1"/>
    <col min="7170" max="7170" width="11.85546875" customWidth="1"/>
    <col min="7171" max="7171" width="12.28515625" customWidth="1"/>
    <col min="7172" max="7172" width="7.85546875" customWidth="1"/>
    <col min="7173" max="7173" width="6.7109375" customWidth="1"/>
    <col min="7174" max="7174" width="8.140625" customWidth="1"/>
    <col min="7175" max="7175" width="6.28515625" customWidth="1"/>
    <col min="7176" max="7176" width="7.42578125" customWidth="1"/>
    <col min="7177" max="7177" width="8.28515625" customWidth="1"/>
    <col min="7178" max="7178" width="7.7109375" customWidth="1"/>
    <col min="7179" max="7179" width="6.42578125" customWidth="1"/>
    <col min="7180" max="7180" width="2.85546875" customWidth="1"/>
    <col min="7181" max="7181" width="11.28515625" customWidth="1"/>
    <col min="7182" max="7182" width="7.85546875" customWidth="1"/>
    <col min="7183" max="7183" width="7.28515625" customWidth="1"/>
    <col min="7184" max="7184" width="7.5703125" customWidth="1"/>
    <col min="7185" max="7185" width="5.7109375" customWidth="1"/>
    <col min="7186" max="7186" width="8.42578125" customWidth="1"/>
    <col min="7187" max="7187" width="7.7109375" customWidth="1"/>
    <col min="7188" max="7188" width="7.85546875" customWidth="1"/>
    <col min="7189" max="7189" width="6.28515625" customWidth="1"/>
    <col min="7425" max="7425" width="11.28515625" customWidth="1"/>
    <col min="7426" max="7426" width="11.85546875" customWidth="1"/>
    <col min="7427" max="7427" width="12.28515625" customWidth="1"/>
    <col min="7428" max="7428" width="7.85546875" customWidth="1"/>
    <col min="7429" max="7429" width="6.7109375" customWidth="1"/>
    <col min="7430" max="7430" width="8.140625" customWidth="1"/>
    <col min="7431" max="7431" width="6.28515625" customWidth="1"/>
    <col min="7432" max="7432" width="7.42578125" customWidth="1"/>
    <col min="7433" max="7433" width="8.28515625" customWidth="1"/>
    <col min="7434" max="7434" width="7.7109375" customWidth="1"/>
    <col min="7435" max="7435" width="6.42578125" customWidth="1"/>
    <col min="7436" max="7436" width="2.85546875" customWidth="1"/>
    <col min="7437" max="7437" width="11.28515625" customWidth="1"/>
    <col min="7438" max="7438" width="7.85546875" customWidth="1"/>
    <col min="7439" max="7439" width="7.28515625" customWidth="1"/>
    <col min="7440" max="7440" width="7.5703125" customWidth="1"/>
    <col min="7441" max="7441" width="5.7109375" customWidth="1"/>
    <col min="7442" max="7442" width="8.42578125" customWidth="1"/>
    <col min="7443" max="7443" width="7.7109375" customWidth="1"/>
    <col min="7444" max="7444" width="7.85546875" customWidth="1"/>
    <col min="7445" max="7445" width="6.28515625" customWidth="1"/>
    <col min="7681" max="7681" width="11.28515625" customWidth="1"/>
    <col min="7682" max="7682" width="11.85546875" customWidth="1"/>
    <col min="7683" max="7683" width="12.28515625" customWidth="1"/>
    <col min="7684" max="7684" width="7.85546875" customWidth="1"/>
    <col min="7685" max="7685" width="6.7109375" customWidth="1"/>
    <col min="7686" max="7686" width="8.140625" customWidth="1"/>
    <col min="7687" max="7687" width="6.28515625" customWidth="1"/>
    <col min="7688" max="7688" width="7.42578125" customWidth="1"/>
    <col min="7689" max="7689" width="8.28515625" customWidth="1"/>
    <col min="7690" max="7690" width="7.7109375" customWidth="1"/>
    <col min="7691" max="7691" width="6.42578125" customWidth="1"/>
    <col min="7692" max="7692" width="2.85546875" customWidth="1"/>
    <col min="7693" max="7693" width="11.28515625" customWidth="1"/>
    <col min="7694" max="7694" width="7.85546875" customWidth="1"/>
    <col min="7695" max="7695" width="7.28515625" customWidth="1"/>
    <col min="7696" max="7696" width="7.5703125" customWidth="1"/>
    <col min="7697" max="7697" width="5.7109375" customWidth="1"/>
    <col min="7698" max="7698" width="8.42578125" customWidth="1"/>
    <col min="7699" max="7699" width="7.7109375" customWidth="1"/>
    <col min="7700" max="7700" width="7.85546875" customWidth="1"/>
    <col min="7701" max="7701" width="6.28515625" customWidth="1"/>
    <col min="7937" max="7937" width="11.28515625" customWidth="1"/>
    <col min="7938" max="7938" width="11.85546875" customWidth="1"/>
    <col min="7939" max="7939" width="12.28515625" customWidth="1"/>
    <col min="7940" max="7940" width="7.85546875" customWidth="1"/>
    <col min="7941" max="7941" width="6.7109375" customWidth="1"/>
    <col min="7942" max="7942" width="8.140625" customWidth="1"/>
    <col min="7943" max="7943" width="6.28515625" customWidth="1"/>
    <col min="7944" max="7944" width="7.42578125" customWidth="1"/>
    <col min="7945" max="7945" width="8.28515625" customWidth="1"/>
    <col min="7946" max="7946" width="7.7109375" customWidth="1"/>
    <col min="7947" max="7947" width="6.42578125" customWidth="1"/>
    <col min="7948" max="7948" width="2.85546875" customWidth="1"/>
    <col min="7949" max="7949" width="11.28515625" customWidth="1"/>
    <col min="7950" max="7950" width="7.85546875" customWidth="1"/>
    <col min="7951" max="7951" width="7.28515625" customWidth="1"/>
    <col min="7952" max="7952" width="7.5703125" customWidth="1"/>
    <col min="7953" max="7953" width="5.7109375" customWidth="1"/>
    <col min="7954" max="7954" width="8.42578125" customWidth="1"/>
    <col min="7955" max="7955" width="7.7109375" customWidth="1"/>
    <col min="7956" max="7956" width="7.85546875" customWidth="1"/>
    <col min="7957" max="7957" width="6.28515625" customWidth="1"/>
    <col min="8193" max="8193" width="11.28515625" customWidth="1"/>
    <col min="8194" max="8194" width="11.85546875" customWidth="1"/>
    <col min="8195" max="8195" width="12.28515625" customWidth="1"/>
    <col min="8196" max="8196" width="7.85546875" customWidth="1"/>
    <col min="8197" max="8197" width="6.7109375" customWidth="1"/>
    <col min="8198" max="8198" width="8.140625" customWidth="1"/>
    <col min="8199" max="8199" width="6.28515625" customWidth="1"/>
    <col min="8200" max="8200" width="7.42578125" customWidth="1"/>
    <col min="8201" max="8201" width="8.28515625" customWidth="1"/>
    <col min="8202" max="8202" width="7.7109375" customWidth="1"/>
    <col min="8203" max="8203" width="6.42578125" customWidth="1"/>
    <col min="8204" max="8204" width="2.85546875" customWidth="1"/>
    <col min="8205" max="8205" width="11.28515625" customWidth="1"/>
    <col min="8206" max="8206" width="7.85546875" customWidth="1"/>
    <col min="8207" max="8207" width="7.28515625" customWidth="1"/>
    <col min="8208" max="8208" width="7.5703125" customWidth="1"/>
    <col min="8209" max="8209" width="5.7109375" customWidth="1"/>
    <col min="8210" max="8210" width="8.42578125" customWidth="1"/>
    <col min="8211" max="8211" width="7.7109375" customWidth="1"/>
    <col min="8212" max="8212" width="7.85546875" customWidth="1"/>
    <col min="8213" max="8213" width="6.28515625" customWidth="1"/>
    <col min="8449" max="8449" width="11.28515625" customWidth="1"/>
    <col min="8450" max="8450" width="11.85546875" customWidth="1"/>
    <col min="8451" max="8451" width="12.28515625" customWidth="1"/>
    <col min="8452" max="8452" width="7.85546875" customWidth="1"/>
    <col min="8453" max="8453" width="6.7109375" customWidth="1"/>
    <col min="8454" max="8454" width="8.140625" customWidth="1"/>
    <col min="8455" max="8455" width="6.28515625" customWidth="1"/>
    <col min="8456" max="8456" width="7.42578125" customWidth="1"/>
    <col min="8457" max="8457" width="8.28515625" customWidth="1"/>
    <col min="8458" max="8458" width="7.7109375" customWidth="1"/>
    <col min="8459" max="8459" width="6.42578125" customWidth="1"/>
    <col min="8460" max="8460" width="2.85546875" customWidth="1"/>
    <col min="8461" max="8461" width="11.28515625" customWidth="1"/>
    <col min="8462" max="8462" width="7.85546875" customWidth="1"/>
    <col min="8463" max="8463" width="7.28515625" customWidth="1"/>
    <col min="8464" max="8464" width="7.5703125" customWidth="1"/>
    <col min="8465" max="8465" width="5.7109375" customWidth="1"/>
    <col min="8466" max="8466" width="8.42578125" customWidth="1"/>
    <col min="8467" max="8467" width="7.7109375" customWidth="1"/>
    <col min="8468" max="8468" width="7.85546875" customWidth="1"/>
    <col min="8469" max="8469" width="6.28515625" customWidth="1"/>
    <col min="8705" max="8705" width="11.28515625" customWidth="1"/>
    <col min="8706" max="8706" width="11.85546875" customWidth="1"/>
    <col min="8707" max="8707" width="12.28515625" customWidth="1"/>
    <col min="8708" max="8708" width="7.85546875" customWidth="1"/>
    <col min="8709" max="8709" width="6.7109375" customWidth="1"/>
    <col min="8710" max="8710" width="8.140625" customWidth="1"/>
    <col min="8711" max="8711" width="6.28515625" customWidth="1"/>
    <col min="8712" max="8712" width="7.42578125" customWidth="1"/>
    <col min="8713" max="8713" width="8.28515625" customWidth="1"/>
    <col min="8714" max="8714" width="7.7109375" customWidth="1"/>
    <col min="8715" max="8715" width="6.42578125" customWidth="1"/>
    <col min="8716" max="8716" width="2.85546875" customWidth="1"/>
    <col min="8717" max="8717" width="11.28515625" customWidth="1"/>
    <col min="8718" max="8718" width="7.85546875" customWidth="1"/>
    <col min="8719" max="8719" width="7.28515625" customWidth="1"/>
    <col min="8720" max="8720" width="7.5703125" customWidth="1"/>
    <col min="8721" max="8721" width="5.7109375" customWidth="1"/>
    <col min="8722" max="8722" width="8.42578125" customWidth="1"/>
    <col min="8723" max="8723" width="7.7109375" customWidth="1"/>
    <col min="8724" max="8724" width="7.85546875" customWidth="1"/>
    <col min="8725" max="8725" width="6.28515625" customWidth="1"/>
    <col min="8961" max="8961" width="11.28515625" customWidth="1"/>
    <col min="8962" max="8962" width="11.85546875" customWidth="1"/>
    <col min="8963" max="8963" width="12.28515625" customWidth="1"/>
    <col min="8964" max="8964" width="7.85546875" customWidth="1"/>
    <col min="8965" max="8965" width="6.7109375" customWidth="1"/>
    <col min="8966" max="8966" width="8.140625" customWidth="1"/>
    <col min="8967" max="8967" width="6.28515625" customWidth="1"/>
    <col min="8968" max="8968" width="7.42578125" customWidth="1"/>
    <col min="8969" max="8969" width="8.28515625" customWidth="1"/>
    <col min="8970" max="8970" width="7.7109375" customWidth="1"/>
    <col min="8971" max="8971" width="6.42578125" customWidth="1"/>
    <col min="8972" max="8972" width="2.85546875" customWidth="1"/>
    <col min="8973" max="8973" width="11.28515625" customWidth="1"/>
    <col min="8974" max="8974" width="7.85546875" customWidth="1"/>
    <col min="8975" max="8975" width="7.28515625" customWidth="1"/>
    <col min="8976" max="8976" width="7.5703125" customWidth="1"/>
    <col min="8977" max="8977" width="5.7109375" customWidth="1"/>
    <col min="8978" max="8978" width="8.42578125" customWidth="1"/>
    <col min="8979" max="8979" width="7.7109375" customWidth="1"/>
    <col min="8980" max="8980" width="7.85546875" customWidth="1"/>
    <col min="8981" max="8981" width="6.28515625" customWidth="1"/>
    <col min="9217" max="9217" width="11.28515625" customWidth="1"/>
    <col min="9218" max="9218" width="11.85546875" customWidth="1"/>
    <col min="9219" max="9219" width="12.28515625" customWidth="1"/>
    <col min="9220" max="9220" width="7.85546875" customWidth="1"/>
    <col min="9221" max="9221" width="6.7109375" customWidth="1"/>
    <col min="9222" max="9222" width="8.140625" customWidth="1"/>
    <col min="9223" max="9223" width="6.28515625" customWidth="1"/>
    <col min="9224" max="9224" width="7.42578125" customWidth="1"/>
    <col min="9225" max="9225" width="8.28515625" customWidth="1"/>
    <col min="9226" max="9226" width="7.7109375" customWidth="1"/>
    <col min="9227" max="9227" width="6.42578125" customWidth="1"/>
    <col min="9228" max="9228" width="2.85546875" customWidth="1"/>
    <col min="9229" max="9229" width="11.28515625" customWidth="1"/>
    <col min="9230" max="9230" width="7.85546875" customWidth="1"/>
    <col min="9231" max="9231" width="7.28515625" customWidth="1"/>
    <col min="9232" max="9232" width="7.5703125" customWidth="1"/>
    <col min="9233" max="9233" width="5.7109375" customWidth="1"/>
    <col min="9234" max="9234" width="8.42578125" customWidth="1"/>
    <col min="9235" max="9235" width="7.7109375" customWidth="1"/>
    <col min="9236" max="9236" width="7.85546875" customWidth="1"/>
    <col min="9237" max="9237" width="6.28515625" customWidth="1"/>
    <col min="9473" max="9473" width="11.28515625" customWidth="1"/>
    <col min="9474" max="9474" width="11.85546875" customWidth="1"/>
    <col min="9475" max="9475" width="12.28515625" customWidth="1"/>
    <col min="9476" max="9476" width="7.85546875" customWidth="1"/>
    <col min="9477" max="9477" width="6.7109375" customWidth="1"/>
    <col min="9478" max="9478" width="8.140625" customWidth="1"/>
    <col min="9479" max="9479" width="6.28515625" customWidth="1"/>
    <col min="9480" max="9480" width="7.42578125" customWidth="1"/>
    <col min="9481" max="9481" width="8.28515625" customWidth="1"/>
    <col min="9482" max="9482" width="7.7109375" customWidth="1"/>
    <col min="9483" max="9483" width="6.42578125" customWidth="1"/>
    <col min="9484" max="9484" width="2.85546875" customWidth="1"/>
    <col min="9485" max="9485" width="11.28515625" customWidth="1"/>
    <col min="9486" max="9486" width="7.85546875" customWidth="1"/>
    <col min="9487" max="9487" width="7.28515625" customWidth="1"/>
    <col min="9488" max="9488" width="7.5703125" customWidth="1"/>
    <col min="9489" max="9489" width="5.7109375" customWidth="1"/>
    <col min="9490" max="9490" width="8.42578125" customWidth="1"/>
    <col min="9491" max="9491" width="7.7109375" customWidth="1"/>
    <col min="9492" max="9492" width="7.85546875" customWidth="1"/>
    <col min="9493" max="9493" width="6.28515625" customWidth="1"/>
    <col min="9729" max="9729" width="11.28515625" customWidth="1"/>
    <col min="9730" max="9730" width="11.85546875" customWidth="1"/>
    <col min="9731" max="9731" width="12.28515625" customWidth="1"/>
    <col min="9732" max="9732" width="7.85546875" customWidth="1"/>
    <col min="9733" max="9733" width="6.7109375" customWidth="1"/>
    <col min="9734" max="9734" width="8.140625" customWidth="1"/>
    <col min="9735" max="9735" width="6.28515625" customWidth="1"/>
    <col min="9736" max="9736" width="7.42578125" customWidth="1"/>
    <col min="9737" max="9737" width="8.28515625" customWidth="1"/>
    <col min="9738" max="9738" width="7.7109375" customWidth="1"/>
    <col min="9739" max="9739" width="6.42578125" customWidth="1"/>
    <col min="9740" max="9740" width="2.85546875" customWidth="1"/>
    <col min="9741" max="9741" width="11.28515625" customWidth="1"/>
    <col min="9742" max="9742" width="7.85546875" customWidth="1"/>
    <col min="9743" max="9743" width="7.28515625" customWidth="1"/>
    <col min="9744" max="9744" width="7.5703125" customWidth="1"/>
    <col min="9745" max="9745" width="5.7109375" customWidth="1"/>
    <col min="9746" max="9746" width="8.42578125" customWidth="1"/>
    <col min="9747" max="9747" width="7.7109375" customWidth="1"/>
    <col min="9748" max="9748" width="7.85546875" customWidth="1"/>
    <col min="9749" max="9749" width="6.28515625" customWidth="1"/>
    <col min="9985" max="9985" width="11.28515625" customWidth="1"/>
    <col min="9986" max="9986" width="11.85546875" customWidth="1"/>
    <col min="9987" max="9987" width="12.28515625" customWidth="1"/>
    <col min="9988" max="9988" width="7.85546875" customWidth="1"/>
    <col min="9989" max="9989" width="6.7109375" customWidth="1"/>
    <col min="9990" max="9990" width="8.140625" customWidth="1"/>
    <col min="9991" max="9991" width="6.28515625" customWidth="1"/>
    <col min="9992" max="9992" width="7.42578125" customWidth="1"/>
    <col min="9993" max="9993" width="8.28515625" customWidth="1"/>
    <col min="9994" max="9994" width="7.7109375" customWidth="1"/>
    <col min="9995" max="9995" width="6.42578125" customWidth="1"/>
    <col min="9996" max="9996" width="2.85546875" customWidth="1"/>
    <col min="9997" max="9997" width="11.28515625" customWidth="1"/>
    <col min="9998" max="9998" width="7.85546875" customWidth="1"/>
    <col min="9999" max="9999" width="7.28515625" customWidth="1"/>
    <col min="10000" max="10000" width="7.5703125" customWidth="1"/>
    <col min="10001" max="10001" width="5.7109375" customWidth="1"/>
    <col min="10002" max="10002" width="8.42578125" customWidth="1"/>
    <col min="10003" max="10003" width="7.7109375" customWidth="1"/>
    <col min="10004" max="10004" width="7.85546875" customWidth="1"/>
    <col min="10005" max="10005" width="6.28515625" customWidth="1"/>
    <col min="10241" max="10241" width="11.28515625" customWidth="1"/>
    <col min="10242" max="10242" width="11.85546875" customWidth="1"/>
    <col min="10243" max="10243" width="12.28515625" customWidth="1"/>
    <col min="10244" max="10244" width="7.85546875" customWidth="1"/>
    <col min="10245" max="10245" width="6.7109375" customWidth="1"/>
    <col min="10246" max="10246" width="8.140625" customWidth="1"/>
    <col min="10247" max="10247" width="6.28515625" customWidth="1"/>
    <col min="10248" max="10248" width="7.42578125" customWidth="1"/>
    <col min="10249" max="10249" width="8.28515625" customWidth="1"/>
    <col min="10250" max="10250" width="7.7109375" customWidth="1"/>
    <col min="10251" max="10251" width="6.42578125" customWidth="1"/>
    <col min="10252" max="10252" width="2.85546875" customWidth="1"/>
    <col min="10253" max="10253" width="11.28515625" customWidth="1"/>
    <col min="10254" max="10254" width="7.85546875" customWidth="1"/>
    <col min="10255" max="10255" width="7.28515625" customWidth="1"/>
    <col min="10256" max="10256" width="7.5703125" customWidth="1"/>
    <col min="10257" max="10257" width="5.7109375" customWidth="1"/>
    <col min="10258" max="10258" width="8.42578125" customWidth="1"/>
    <col min="10259" max="10259" width="7.7109375" customWidth="1"/>
    <col min="10260" max="10260" width="7.85546875" customWidth="1"/>
    <col min="10261" max="10261" width="6.28515625" customWidth="1"/>
    <col min="10497" max="10497" width="11.28515625" customWidth="1"/>
    <col min="10498" max="10498" width="11.85546875" customWidth="1"/>
    <col min="10499" max="10499" width="12.28515625" customWidth="1"/>
    <col min="10500" max="10500" width="7.85546875" customWidth="1"/>
    <col min="10501" max="10501" width="6.7109375" customWidth="1"/>
    <col min="10502" max="10502" width="8.140625" customWidth="1"/>
    <col min="10503" max="10503" width="6.28515625" customWidth="1"/>
    <col min="10504" max="10504" width="7.42578125" customWidth="1"/>
    <col min="10505" max="10505" width="8.28515625" customWidth="1"/>
    <col min="10506" max="10506" width="7.7109375" customWidth="1"/>
    <col min="10507" max="10507" width="6.42578125" customWidth="1"/>
    <col min="10508" max="10508" width="2.85546875" customWidth="1"/>
    <col min="10509" max="10509" width="11.28515625" customWidth="1"/>
    <col min="10510" max="10510" width="7.85546875" customWidth="1"/>
    <col min="10511" max="10511" width="7.28515625" customWidth="1"/>
    <col min="10512" max="10512" width="7.5703125" customWidth="1"/>
    <col min="10513" max="10513" width="5.7109375" customWidth="1"/>
    <col min="10514" max="10514" width="8.42578125" customWidth="1"/>
    <col min="10515" max="10515" width="7.7109375" customWidth="1"/>
    <col min="10516" max="10516" width="7.85546875" customWidth="1"/>
    <col min="10517" max="10517" width="6.28515625" customWidth="1"/>
    <col min="10753" max="10753" width="11.28515625" customWidth="1"/>
    <col min="10754" max="10754" width="11.85546875" customWidth="1"/>
    <col min="10755" max="10755" width="12.28515625" customWidth="1"/>
    <col min="10756" max="10756" width="7.85546875" customWidth="1"/>
    <col min="10757" max="10757" width="6.7109375" customWidth="1"/>
    <col min="10758" max="10758" width="8.140625" customWidth="1"/>
    <col min="10759" max="10759" width="6.28515625" customWidth="1"/>
    <col min="10760" max="10760" width="7.42578125" customWidth="1"/>
    <col min="10761" max="10761" width="8.28515625" customWidth="1"/>
    <col min="10762" max="10762" width="7.7109375" customWidth="1"/>
    <col min="10763" max="10763" width="6.42578125" customWidth="1"/>
    <col min="10764" max="10764" width="2.85546875" customWidth="1"/>
    <col min="10765" max="10765" width="11.28515625" customWidth="1"/>
    <col min="10766" max="10766" width="7.85546875" customWidth="1"/>
    <col min="10767" max="10767" width="7.28515625" customWidth="1"/>
    <col min="10768" max="10768" width="7.5703125" customWidth="1"/>
    <col min="10769" max="10769" width="5.7109375" customWidth="1"/>
    <col min="10770" max="10770" width="8.42578125" customWidth="1"/>
    <col min="10771" max="10771" width="7.7109375" customWidth="1"/>
    <col min="10772" max="10772" width="7.85546875" customWidth="1"/>
    <col min="10773" max="10773" width="6.28515625" customWidth="1"/>
    <col min="11009" max="11009" width="11.28515625" customWidth="1"/>
    <col min="11010" max="11010" width="11.85546875" customWidth="1"/>
    <col min="11011" max="11011" width="12.28515625" customWidth="1"/>
    <col min="11012" max="11012" width="7.85546875" customWidth="1"/>
    <col min="11013" max="11013" width="6.7109375" customWidth="1"/>
    <col min="11014" max="11014" width="8.140625" customWidth="1"/>
    <col min="11015" max="11015" width="6.28515625" customWidth="1"/>
    <col min="11016" max="11016" width="7.42578125" customWidth="1"/>
    <col min="11017" max="11017" width="8.28515625" customWidth="1"/>
    <col min="11018" max="11018" width="7.7109375" customWidth="1"/>
    <col min="11019" max="11019" width="6.42578125" customWidth="1"/>
    <col min="11020" max="11020" width="2.85546875" customWidth="1"/>
    <col min="11021" max="11021" width="11.28515625" customWidth="1"/>
    <col min="11022" max="11022" width="7.85546875" customWidth="1"/>
    <col min="11023" max="11023" width="7.28515625" customWidth="1"/>
    <col min="11024" max="11024" width="7.5703125" customWidth="1"/>
    <col min="11025" max="11025" width="5.7109375" customWidth="1"/>
    <col min="11026" max="11026" width="8.42578125" customWidth="1"/>
    <col min="11027" max="11027" width="7.7109375" customWidth="1"/>
    <col min="11028" max="11028" width="7.85546875" customWidth="1"/>
    <col min="11029" max="11029" width="6.28515625" customWidth="1"/>
    <col min="11265" max="11265" width="11.28515625" customWidth="1"/>
    <col min="11266" max="11266" width="11.85546875" customWidth="1"/>
    <col min="11267" max="11267" width="12.28515625" customWidth="1"/>
    <col min="11268" max="11268" width="7.85546875" customWidth="1"/>
    <col min="11269" max="11269" width="6.7109375" customWidth="1"/>
    <col min="11270" max="11270" width="8.140625" customWidth="1"/>
    <col min="11271" max="11271" width="6.28515625" customWidth="1"/>
    <col min="11272" max="11272" width="7.42578125" customWidth="1"/>
    <col min="11273" max="11273" width="8.28515625" customWidth="1"/>
    <col min="11274" max="11274" width="7.7109375" customWidth="1"/>
    <col min="11275" max="11275" width="6.42578125" customWidth="1"/>
    <col min="11276" max="11276" width="2.85546875" customWidth="1"/>
    <col min="11277" max="11277" width="11.28515625" customWidth="1"/>
    <col min="11278" max="11278" width="7.85546875" customWidth="1"/>
    <col min="11279" max="11279" width="7.28515625" customWidth="1"/>
    <col min="11280" max="11280" width="7.5703125" customWidth="1"/>
    <col min="11281" max="11281" width="5.7109375" customWidth="1"/>
    <col min="11282" max="11282" width="8.42578125" customWidth="1"/>
    <col min="11283" max="11283" width="7.7109375" customWidth="1"/>
    <col min="11284" max="11284" width="7.85546875" customWidth="1"/>
    <col min="11285" max="11285" width="6.28515625" customWidth="1"/>
    <col min="11521" max="11521" width="11.28515625" customWidth="1"/>
    <col min="11522" max="11522" width="11.85546875" customWidth="1"/>
    <col min="11523" max="11523" width="12.28515625" customWidth="1"/>
    <col min="11524" max="11524" width="7.85546875" customWidth="1"/>
    <col min="11525" max="11525" width="6.7109375" customWidth="1"/>
    <col min="11526" max="11526" width="8.140625" customWidth="1"/>
    <col min="11527" max="11527" width="6.28515625" customWidth="1"/>
    <col min="11528" max="11528" width="7.42578125" customWidth="1"/>
    <col min="11529" max="11529" width="8.28515625" customWidth="1"/>
    <col min="11530" max="11530" width="7.7109375" customWidth="1"/>
    <col min="11531" max="11531" width="6.42578125" customWidth="1"/>
    <col min="11532" max="11532" width="2.85546875" customWidth="1"/>
    <col min="11533" max="11533" width="11.28515625" customWidth="1"/>
    <col min="11534" max="11534" width="7.85546875" customWidth="1"/>
    <col min="11535" max="11535" width="7.28515625" customWidth="1"/>
    <col min="11536" max="11536" width="7.5703125" customWidth="1"/>
    <col min="11537" max="11537" width="5.7109375" customWidth="1"/>
    <col min="11538" max="11538" width="8.42578125" customWidth="1"/>
    <col min="11539" max="11539" width="7.7109375" customWidth="1"/>
    <col min="11540" max="11540" width="7.85546875" customWidth="1"/>
    <col min="11541" max="11541" width="6.28515625" customWidth="1"/>
    <col min="11777" max="11777" width="11.28515625" customWidth="1"/>
    <col min="11778" max="11778" width="11.85546875" customWidth="1"/>
    <col min="11779" max="11779" width="12.28515625" customWidth="1"/>
    <col min="11780" max="11780" width="7.85546875" customWidth="1"/>
    <col min="11781" max="11781" width="6.7109375" customWidth="1"/>
    <col min="11782" max="11782" width="8.140625" customWidth="1"/>
    <col min="11783" max="11783" width="6.28515625" customWidth="1"/>
    <col min="11784" max="11784" width="7.42578125" customWidth="1"/>
    <col min="11785" max="11785" width="8.28515625" customWidth="1"/>
    <col min="11786" max="11786" width="7.7109375" customWidth="1"/>
    <col min="11787" max="11787" width="6.42578125" customWidth="1"/>
    <col min="11788" max="11788" width="2.85546875" customWidth="1"/>
    <col min="11789" max="11789" width="11.28515625" customWidth="1"/>
    <col min="11790" max="11790" width="7.85546875" customWidth="1"/>
    <col min="11791" max="11791" width="7.28515625" customWidth="1"/>
    <col min="11792" max="11792" width="7.5703125" customWidth="1"/>
    <col min="11793" max="11793" width="5.7109375" customWidth="1"/>
    <col min="11794" max="11794" width="8.42578125" customWidth="1"/>
    <col min="11795" max="11795" width="7.7109375" customWidth="1"/>
    <col min="11796" max="11796" width="7.85546875" customWidth="1"/>
    <col min="11797" max="11797" width="6.28515625" customWidth="1"/>
    <col min="12033" max="12033" width="11.28515625" customWidth="1"/>
    <col min="12034" max="12034" width="11.85546875" customWidth="1"/>
    <col min="12035" max="12035" width="12.28515625" customWidth="1"/>
    <col min="12036" max="12036" width="7.85546875" customWidth="1"/>
    <col min="12037" max="12037" width="6.7109375" customWidth="1"/>
    <col min="12038" max="12038" width="8.140625" customWidth="1"/>
    <col min="12039" max="12039" width="6.28515625" customWidth="1"/>
    <col min="12040" max="12040" width="7.42578125" customWidth="1"/>
    <col min="12041" max="12041" width="8.28515625" customWidth="1"/>
    <col min="12042" max="12042" width="7.7109375" customWidth="1"/>
    <col min="12043" max="12043" width="6.42578125" customWidth="1"/>
    <col min="12044" max="12044" width="2.85546875" customWidth="1"/>
    <col min="12045" max="12045" width="11.28515625" customWidth="1"/>
    <col min="12046" max="12046" width="7.85546875" customWidth="1"/>
    <col min="12047" max="12047" width="7.28515625" customWidth="1"/>
    <col min="12048" max="12048" width="7.5703125" customWidth="1"/>
    <col min="12049" max="12049" width="5.7109375" customWidth="1"/>
    <col min="12050" max="12050" width="8.42578125" customWidth="1"/>
    <col min="12051" max="12051" width="7.7109375" customWidth="1"/>
    <col min="12052" max="12052" width="7.85546875" customWidth="1"/>
    <col min="12053" max="12053" width="6.28515625" customWidth="1"/>
    <col min="12289" max="12289" width="11.28515625" customWidth="1"/>
    <col min="12290" max="12290" width="11.85546875" customWidth="1"/>
    <col min="12291" max="12291" width="12.28515625" customWidth="1"/>
    <col min="12292" max="12292" width="7.85546875" customWidth="1"/>
    <col min="12293" max="12293" width="6.7109375" customWidth="1"/>
    <col min="12294" max="12294" width="8.140625" customWidth="1"/>
    <col min="12295" max="12295" width="6.28515625" customWidth="1"/>
    <col min="12296" max="12296" width="7.42578125" customWidth="1"/>
    <col min="12297" max="12297" width="8.28515625" customWidth="1"/>
    <col min="12298" max="12298" width="7.7109375" customWidth="1"/>
    <col min="12299" max="12299" width="6.42578125" customWidth="1"/>
    <col min="12300" max="12300" width="2.85546875" customWidth="1"/>
    <col min="12301" max="12301" width="11.28515625" customWidth="1"/>
    <col min="12302" max="12302" width="7.85546875" customWidth="1"/>
    <col min="12303" max="12303" width="7.28515625" customWidth="1"/>
    <col min="12304" max="12304" width="7.5703125" customWidth="1"/>
    <col min="12305" max="12305" width="5.7109375" customWidth="1"/>
    <col min="12306" max="12306" width="8.42578125" customWidth="1"/>
    <col min="12307" max="12307" width="7.7109375" customWidth="1"/>
    <col min="12308" max="12308" width="7.85546875" customWidth="1"/>
    <col min="12309" max="12309" width="6.28515625" customWidth="1"/>
    <col min="12545" max="12545" width="11.28515625" customWidth="1"/>
    <col min="12546" max="12546" width="11.85546875" customWidth="1"/>
    <col min="12547" max="12547" width="12.28515625" customWidth="1"/>
    <col min="12548" max="12548" width="7.85546875" customWidth="1"/>
    <col min="12549" max="12549" width="6.7109375" customWidth="1"/>
    <col min="12550" max="12550" width="8.140625" customWidth="1"/>
    <col min="12551" max="12551" width="6.28515625" customWidth="1"/>
    <col min="12552" max="12552" width="7.42578125" customWidth="1"/>
    <col min="12553" max="12553" width="8.28515625" customWidth="1"/>
    <col min="12554" max="12554" width="7.7109375" customWidth="1"/>
    <col min="12555" max="12555" width="6.42578125" customWidth="1"/>
    <col min="12556" max="12556" width="2.85546875" customWidth="1"/>
    <col min="12557" max="12557" width="11.28515625" customWidth="1"/>
    <col min="12558" max="12558" width="7.85546875" customWidth="1"/>
    <col min="12559" max="12559" width="7.28515625" customWidth="1"/>
    <col min="12560" max="12560" width="7.5703125" customWidth="1"/>
    <col min="12561" max="12561" width="5.7109375" customWidth="1"/>
    <col min="12562" max="12562" width="8.42578125" customWidth="1"/>
    <col min="12563" max="12563" width="7.7109375" customWidth="1"/>
    <col min="12564" max="12564" width="7.85546875" customWidth="1"/>
    <col min="12565" max="12565" width="6.28515625" customWidth="1"/>
    <col min="12801" max="12801" width="11.28515625" customWidth="1"/>
    <col min="12802" max="12802" width="11.85546875" customWidth="1"/>
    <col min="12803" max="12803" width="12.28515625" customWidth="1"/>
    <col min="12804" max="12804" width="7.85546875" customWidth="1"/>
    <col min="12805" max="12805" width="6.7109375" customWidth="1"/>
    <col min="12806" max="12806" width="8.140625" customWidth="1"/>
    <col min="12807" max="12807" width="6.28515625" customWidth="1"/>
    <col min="12808" max="12808" width="7.42578125" customWidth="1"/>
    <col min="12809" max="12809" width="8.28515625" customWidth="1"/>
    <col min="12810" max="12810" width="7.7109375" customWidth="1"/>
    <col min="12811" max="12811" width="6.42578125" customWidth="1"/>
    <col min="12812" max="12812" width="2.85546875" customWidth="1"/>
    <col min="12813" max="12813" width="11.28515625" customWidth="1"/>
    <col min="12814" max="12814" width="7.85546875" customWidth="1"/>
    <col min="12815" max="12815" width="7.28515625" customWidth="1"/>
    <col min="12816" max="12816" width="7.5703125" customWidth="1"/>
    <col min="12817" max="12817" width="5.7109375" customWidth="1"/>
    <col min="12818" max="12818" width="8.42578125" customWidth="1"/>
    <col min="12819" max="12819" width="7.7109375" customWidth="1"/>
    <col min="12820" max="12820" width="7.85546875" customWidth="1"/>
    <col min="12821" max="12821" width="6.28515625" customWidth="1"/>
    <col min="13057" max="13057" width="11.28515625" customWidth="1"/>
    <col min="13058" max="13058" width="11.85546875" customWidth="1"/>
    <col min="13059" max="13059" width="12.28515625" customWidth="1"/>
    <col min="13060" max="13060" width="7.85546875" customWidth="1"/>
    <col min="13061" max="13061" width="6.7109375" customWidth="1"/>
    <col min="13062" max="13062" width="8.140625" customWidth="1"/>
    <col min="13063" max="13063" width="6.28515625" customWidth="1"/>
    <col min="13064" max="13064" width="7.42578125" customWidth="1"/>
    <col min="13065" max="13065" width="8.28515625" customWidth="1"/>
    <col min="13066" max="13066" width="7.7109375" customWidth="1"/>
    <col min="13067" max="13067" width="6.42578125" customWidth="1"/>
    <col min="13068" max="13068" width="2.85546875" customWidth="1"/>
    <col min="13069" max="13069" width="11.28515625" customWidth="1"/>
    <col min="13070" max="13070" width="7.85546875" customWidth="1"/>
    <col min="13071" max="13071" width="7.28515625" customWidth="1"/>
    <col min="13072" max="13072" width="7.5703125" customWidth="1"/>
    <col min="13073" max="13073" width="5.7109375" customWidth="1"/>
    <col min="13074" max="13074" width="8.42578125" customWidth="1"/>
    <col min="13075" max="13075" width="7.7109375" customWidth="1"/>
    <col min="13076" max="13076" width="7.85546875" customWidth="1"/>
    <col min="13077" max="13077" width="6.28515625" customWidth="1"/>
    <col min="13313" max="13313" width="11.28515625" customWidth="1"/>
    <col min="13314" max="13314" width="11.85546875" customWidth="1"/>
    <col min="13315" max="13315" width="12.28515625" customWidth="1"/>
    <col min="13316" max="13316" width="7.85546875" customWidth="1"/>
    <col min="13317" max="13317" width="6.7109375" customWidth="1"/>
    <col min="13318" max="13318" width="8.140625" customWidth="1"/>
    <col min="13319" max="13319" width="6.28515625" customWidth="1"/>
    <col min="13320" max="13320" width="7.42578125" customWidth="1"/>
    <col min="13321" max="13321" width="8.28515625" customWidth="1"/>
    <col min="13322" max="13322" width="7.7109375" customWidth="1"/>
    <col min="13323" max="13323" width="6.42578125" customWidth="1"/>
    <col min="13324" max="13324" width="2.85546875" customWidth="1"/>
    <col min="13325" max="13325" width="11.28515625" customWidth="1"/>
    <col min="13326" max="13326" width="7.85546875" customWidth="1"/>
    <col min="13327" max="13327" width="7.28515625" customWidth="1"/>
    <col min="13328" max="13328" width="7.5703125" customWidth="1"/>
    <col min="13329" max="13329" width="5.7109375" customWidth="1"/>
    <col min="13330" max="13330" width="8.42578125" customWidth="1"/>
    <col min="13331" max="13331" width="7.7109375" customWidth="1"/>
    <col min="13332" max="13332" width="7.85546875" customWidth="1"/>
    <col min="13333" max="13333" width="6.28515625" customWidth="1"/>
    <col min="13569" max="13569" width="11.28515625" customWidth="1"/>
    <col min="13570" max="13570" width="11.85546875" customWidth="1"/>
    <col min="13571" max="13571" width="12.28515625" customWidth="1"/>
    <col min="13572" max="13572" width="7.85546875" customWidth="1"/>
    <col min="13573" max="13573" width="6.7109375" customWidth="1"/>
    <col min="13574" max="13574" width="8.140625" customWidth="1"/>
    <col min="13575" max="13575" width="6.28515625" customWidth="1"/>
    <col min="13576" max="13576" width="7.42578125" customWidth="1"/>
    <col min="13577" max="13577" width="8.28515625" customWidth="1"/>
    <col min="13578" max="13578" width="7.7109375" customWidth="1"/>
    <col min="13579" max="13579" width="6.42578125" customWidth="1"/>
    <col min="13580" max="13580" width="2.85546875" customWidth="1"/>
    <col min="13581" max="13581" width="11.28515625" customWidth="1"/>
    <col min="13582" max="13582" width="7.85546875" customWidth="1"/>
    <col min="13583" max="13583" width="7.28515625" customWidth="1"/>
    <col min="13584" max="13584" width="7.5703125" customWidth="1"/>
    <col min="13585" max="13585" width="5.7109375" customWidth="1"/>
    <col min="13586" max="13586" width="8.42578125" customWidth="1"/>
    <col min="13587" max="13587" width="7.7109375" customWidth="1"/>
    <col min="13588" max="13588" width="7.85546875" customWidth="1"/>
    <col min="13589" max="13589" width="6.28515625" customWidth="1"/>
    <col min="13825" max="13825" width="11.28515625" customWidth="1"/>
    <col min="13826" max="13826" width="11.85546875" customWidth="1"/>
    <col min="13827" max="13827" width="12.28515625" customWidth="1"/>
    <col min="13828" max="13828" width="7.85546875" customWidth="1"/>
    <col min="13829" max="13829" width="6.7109375" customWidth="1"/>
    <col min="13830" max="13830" width="8.140625" customWidth="1"/>
    <col min="13831" max="13831" width="6.28515625" customWidth="1"/>
    <col min="13832" max="13832" width="7.42578125" customWidth="1"/>
    <col min="13833" max="13833" width="8.28515625" customWidth="1"/>
    <col min="13834" max="13834" width="7.7109375" customWidth="1"/>
    <col min="13835" max="13835" width="6.42578125" customWidth="1"/>
    <col min="13836" max="13836" width="2.85546875" customWidth="1"/>
    <col min="13837" max="13837" width="11.28515625" customWidth="1"/>
    <col min="13838" max="13838" width="7.85546875" customWidth="1"/>
    <col min="13839" max="13839" width="7.28515625" customWidth="1"/>
    <col min="13840" max="13840" width="7.5703125" customWidth="1"/>
    <col min="13841" max="13841" width="5.7109375" customWidth="1"/>
    <col min="13842" max="13842" width="8.42578125" customWidth="1"/>
    <col min="13843" max="13843" width="7.7109375" customWidth="1"/>
    <col min="13844" max="13844" width="7.85546875" customWidth="1"/>
    <col min="13845" max="13845" width="6.28515625" customWidth="1"/>
    <col min="14081" max="14081" width="11.28515625" customWidth="1"/>
    <col min="14082" max="14082" width="11.85546875" customWidth="1"/>
    <col min="14083" max="14083" width="12.28515625" customWidth="1"/>
    <col min="14084" max="14084" width="7.85546875" customWidth="1"/>
    <col min="14085" max="14085" width="6.7109375" customWidth="1"/>
    <col min="14086" max="14086" width="8.140625" customWidth="1"/>
    <col min="14087" max="14087" width="6.28515625" customWidth="1"/>
    <col min="14088" max="14088" width="7.42578125" customWidth="1"/>
    <col min="14089" max="14089" width="8.28515625" customWidth="1"/>
    <col min="14090" max="14090" width="7.7109375" customWidth="1"/>
    <col min="14091" max="14091" width="6.42578125" customWidth="1"/>
    <col min="14092" max="14092" width="2.85546875" customWidth="1"/>
    <col min="14093" max="14093" width="11.28515625" customWidth="1"/>
    <col min="14094" max="14094" width="7.85546875" customWidth="1"/>
    <col min="14095" max="14095" width="7.28515625" customWidth="1"/>
    <col min="14096" max="14096" width="7.5703125" customWidth="1"/>
    <col min="14097" max="14097" width="5.7109375" customWidth="1"/>
    <col min="14098" max="14098" width="8.42578125" customWidth="1"/>
    <col min="14099" max="14099" width="7.7109375" customWidth="1"/>
    <col min="14100" max="14100" width="7.85546875" customWidth="1"/>
    <col min="14101" max="14101" width="6.28515625" customWidth="1"/>
    <col min="14337" max="14337" width="11.28515625" customWidth="1"/>
    <col min="14338" max="14338" width="11.85546875" customWidth="1"/>
    <col min="14339" max="14339" width="12.28515625" customWidth="1"/>
    <col min="14340" max="14340" width="7.85546875" customWidth="1"/>
    <col min="14341" max="14341" width="6.7109375" customWidth="1"/>
    <col min="14342" max="14342" width="8.140625" customWidth="1"/>
    <col min="14343" max="14343" width="6.28515625" customWidth="1"/>
    <col min="14344" max="14344" width="7.42578125" customWidth="1"/>
    <col min="14345" max="14345" width="8.28515625" customWidth="1"/>
    <col min="14346" max="14346" width="7.7109375" customWidth="1"/>
    <col min="14347" max="14347" width="6.42578125" customWidth="1"/>
    <col min="14348" max="14348" width="2.85546875" customWidth="1"/>
    <col min="14349" max="14349" width="11.28515625" customWidth="1"/>
    <col min="14350" max="14350" width="7.85546875" customWidth="1"/>
    <col min="14351" max="14351" width="7.28515625" customWidth="1"/>
    <col min="14352" max="14352" width="7.5703125" customWidth="1"/>
    <col min="14353" max="14353" width="5.7109375" customWidth="1"/>
    <col min="14354" max="14354" width="8.42578125" customWidth="1"/>
    <col min="14355" max="14355" width="7.7109375" customWidth="1"/>
    <col min="14356" max="14356" width="7.85546875" customWidth="1"/>
    <col min="14357" max="14357" width="6.28515625" customWidth="1"/>
    <col min="14593" max="14593" width="11.28515625" customWidth="1"/>
    <col min="14594" max="14594" width="11.85546875" customWidth="1"/>
    <col min="14595" max="14595" width="12.28515625" customWidth="1"/>
    <col min="14596" max="14596" width="7.85546875" customWidth="1"/>
    <col min="14597" max="14597" width="6.7109375" customWidth="1"/>
    <col min="14598" max="14598" width="8.140625" customWidth="1"/>
    <col min="14599" max="14599" width="6.28515625" customWidth="1"/>
    <col min="14600" max="14600" width="7.42578125" customWidth="1"/>
    <col min="14601" max="14601" width="8.28515625" customWidth="1"/>
    <col min="14602" max="14602" width="7.7109375" customWidth="1"/>
    <col min="14603" max="14603" width="6.42578125" customWidth="1"/>
    <col min="14604" max="14604" width="2.85546875" customWidth="1"/>
    <col min="14605" max="14605" width="11.28515625" customWidth="1"/>
    <col min="14606" max="14606" width="7.85546875" customWidth="1"/>
    <col min="14607" max="14607" width="7.28515625" customWidth="1"/>
    <col min="14608" max="14608" width="7.5703125" customWidth="1"/>
    <col min="14609" max="14609" width="5.7109375" customWidth="1"/>
    <col min="14610" max="14610" width="8.42578125" customWidth="1"/>
    <col min="14611" max="14611" width="7.7109375" customWidth="1"/>
    <col min="14612" max="14612" width="7.85546875" customWidth="1"/>
    <col min="14613" max="14613" width="6.28515625" customWidth="1"/>
    <col min="14849" max="14849" width="11.28515625" customWidth="1"/>
    <col min="14850" max="14850" width="11.85546875" customWidth="1"/>
    <col min="14851" max="14851" width="12.28515625" customWidth="1"/>
    <col min="14852" max="14852" width="7.85546875" customWidth="1"/>
    <col min="14853" max="14853" width="6.7109375" customWidth="1"/>
    <col min="14854" max="14854" width="8.140625" customWidth="1"/>
    <col min="14855" max="14855" width="6.28515625" customWidth="1"/>
    <col min="14856" max="14856" width="7.42578125" customWidth="1"/>
    <col min="14857" max="14857" width="8.28515625" customWidth="1"/>
    <col min="14858" max="14858" width="7.7109375" customWidth="1"/>
    <col min="14859" max="14859" width="6.42578125" customWidth="1"/>
    <col min="14860" max="14860" width="2.85546875" customWidth="1"/>
    <col min="14861" max="14861" width="11.28515625" customWidth="1"/>
    <col min="14862" max="14862" width="7.85546875" customWidth="1"/>
    <col min="14863" max="14863" width="7.28515625" customWidth="1"/>
    <col min="14864" max="14864" width="7.5703125" customWidth="1"/>
    <col min="14865" max="14865" width="5.7109375" customWidth="1"/>
    <col min="14866" max="14866" width="8.42578125" customWidth="1"/>
    <col min="14867" max="14867" width="7.7109375" customWidth="1"/>
    <col min="14868" max="14868" width="7.85546875" customWidth="1"/>
    <col min="14869" max="14869" width="6.28515625" customWidth="1"/>
    <col min="15105" max="15105" width="11.28515625" customWidth="1"/>
    <col min="15106" max="15106" width="11.85546875" customWidth="1"/>
    <col min="15107" max="15107" width="12.28515625" customWidth="1"/>
    <col min="15108" max="15108" width="7.85546875" customWidth="1"/>
    <col min="15109" max="15109" width="6.7109375" customWidth="1"/>
    <col min="15110" max="15110" width="8.140625" customWidth="1"/>
    <col min="15111" max="15111" width="6.28515625" customWidth="1"/>
    <col min="15112" max="15112" width="7.42578125" customWidth="1"/>
    <col min="15113" max="15113" width="8.28515625" customWidth="1"/>
    <col min="15114" max="15114" width="7.7109375" customWidth="1"/>
    <col min="15115" max="15115" width="6.42578125" customWidth="1"/>
    <col min="15116" max="15116" width="2.85546875" customWidth="1"/>
    <col min="15117" max="15117" width="11.28515625" customWidth="1"/>
    <col min="15118" max="15118" width="7.85546875" customWidth="1"/>
    <col min="15119" max="15119" width="7.28515625" customWidth="1"/>
    <col min="15120" max="15120" width="7.5703125" customWidth="1"/>
    <col min="15121" max="15121" width="5.7109375" customWidth="1"/>
    <col min="15122" max="15122" width="8.42578125" customWidth="1"/>
    <col min="15123" max="15123" width="7.7109375" customWidth="1"/>
    <col min="15124" max="15124" width="7.85546875" customWidth="1"/>
    <col min="15125" max="15125" width="6.28515625" customWidth="1"/>
    <col min="15361" max="15361" width="11.28515625" customWidth="1"/>
    <col min="15362" max="15362" width="11.85546875" customWidth="1"/>
    <col min="15363" max="15363" width="12.28515625" customWidth="1"/>
    <col min="15364" max="15364" width="7.85546875" customWidth="1"/>
    <col min="15365" max="15365" width="6.7109375" customWidth="1"/>
    <col min="15366" max="15366" width="8.140625" customWidth="1"/>
    <col min="15367" max="15367" width="6.28515625" customWidth="1"/>
    <col min="15368" max="15368" width="7.42578125" customWidth="1"/>
    <col min="15369" max="15369" width="8.28515625" customWidth="1"/>
    <col min="15370" max="15370" width="7.7109375" customWidth="1"/>
    <col min="15371" max="15371" width="6.42578125" customWidth="1"/>
    <col min="15372" max="15372" width="2.85546875" customWidth="1"/>
    <col min="15373" max="15373" width="11.28515625" customWidth="1"/>
    <col min="15374" max="15374" width="7.85546875" customWidth="1"/>
    <col min="15375" max="15375" width="7.28515625" customWidth="1"/>
    <col min="15376" max="15376" width="7.5703125" customWidth="1"/>
    <col min="15377" max="15377" width="5.7109375" customWidth="1"/>
    <col min="15378" max="15378" width="8.42578125" customWidth="1"/>
    <col min="15379" max="15379" width="7.7109375" customWidth="1"/>
    <col min="15380" max="15380" width="7.85546875" customWidth="1"/>
    <col min="15381" max="15381" width="6.28515625" customWidth="1"/>
    <col min="15617" max="15617" width="11.28515625" customWidth="1"/>
    <col min="15618" max="15618" width="11.85546875" customWidth="1"/>
    <col min="15619" max="15619" width="12.28515625" customWidth="1"/>
    <col min="15620" max="15620" width="7.85546875" customWidth="1"/>
    <col min="15621" max="15621" width="6.7109375" customWidth="1"/>
    <col min="15622" max="15622" width="8.140625" customWidth="1"/>
    <col min="15623" max="15623" width="6.28515625" customWidth="1"/>
    <col min="15624" max="15624" width="7.42578125" customWidth="1"/>
    <col min="15625" max="15625" width="8.28515625" customWidth="1"/>
    <col min="15626" max="15626" width="7.7109375" customWidth="1"/>
    <col min="15627" max="15627" width="6.42578125" customWidth="1"/>
    <col min="15628" max="15628" width="2.85546875" customWidth="1"/>
    <col min="15629" max="15629" width="11.28515625" customWidth="1"/>
    <col min="15630" max="15630" width="7.85546875" customWidth="1"/>
    <col min="15631" max="15631" width="7.28515625" customWidth="1"/>
    <col min="15632" max="15632" width="7.5703125" customWidth="1"/>
    <col min="15633" max="15633" width="5.7109375" customWidth="1"/>
    <col min="15634" max="15634" width="8.42578125" customWidth="1"/>
    <col min="15635" max="15635" width="7.7109375" customWidth="1"/>
    <col min="15636" max="15636" width="7.85546875" customWidth="1"/>
    <col min="15637" max="15637" width="6.28515625" customWidth="1"/>
    <col min="15873" max="15873" width="11.28515625" customWidth="1"/>
    <col min="15874" max="15874" width="11.85546875" customWidth="1"/>
    <col min="15875" max="15875" width="12.28515625" customWidth="1"/>
    <col min="15876" max="15876" width="7.85546875" customWidth="1"/>
    <col min="15877" max="15877" width="6.7109375" customWidth="1"/>
    <col min="15878" max="15878" width="8.140625" customWidth="1"/>
    <col min="15879" max="15879" width="6.28515625" customWidth="1"/>
    <col min="15880" max="15880" width="7.42578125" customWidth="1"/>
    <col min="15881" max="15881" width="8.28515625" customWidth="1"/>
    <col min="15882" max="15882" width="7.7109375" customWidth="1"/>
    <col min="15883" max="15883" width="6.42578125" customWidth="1"/>
    <col min="15884" max="15884" width="2.85546875" customWidth="1"/>
    <col min="15885" max="15885" width="11.28515625" customWidth="1"/>
    <col min="15886" max="15886" width="7.85546875" customWidth="1"/>
    <col min="15887" max="15887" width="7.28515625" customWidth="1"/>
    <col min="15888" max="15888" width="7.5703125" customWidth="1"/>
    <col min="15889" max="15889" width="5.7109375" customWidth="1"/>
    <col min="15890" max="15890" width="8.42578125" customWidth="1"/>
    <col min="15891" max="15891" width="7.7109375" customWidth="1"/>
    <col min="15892" max="15892" width="7.85546875" customWidth="1"/>
    <col min="15893" max="15893" width="6.28515625" customWidth="1"/>
    <col min="16129" max="16129" width="11.28515625" customWidth="1"/>
    <col min="16130" max="16130" width="11.85546875" customWidth="1"/>
    <col min="16131" max="16131" width="12.28515625" customWidth="1"/>
    <col min="16132" max="16132" width="7.85546875" customWidth="1"/>
    <col min="16133" max="16133" width="6.7109375" customWidth="1"/>
    <col min="16134" max="16134" width="8.140625" customWidth="1"/>
    <col min="16135" max="16135" width="6.28515625" customWidth="1"/>
    <col min="16136" max="16136" width="7.42578125" customWidth="1"/>
    <col min="16137" max="16137" width="8.28515625" customWidth="1"/>
    <col min="16138" max="16138" width="7.7109375" customWidth="1"/>
    <col min="16139" max="16139" width="6.42578125" customWidth="1"/>
    <col min="16140" max="16140" width="2.85546875" customWidth="1"/>
    <col min="16141" max="16141" width="11.28515625" customWidth="1"/>
    <col min="16142" max="16142" width="7.85546875" customWidth="1"/>
    <col min="16143" max="16143" width="7.28515625" customWidth="1"/>
    <col min="16144" max="16144" width="7.5703125" customWidth="1"/>
    <col min="16145" max="16145" width="5.7109375" customWidth="1"/>
    <col min="16146" max="16146" width="8.42578125" customWidth="1"/>
    <col min="16147" max="16147" width="7.7109375" customWidth="1"/>
    <col min="16148" max="16148" width="7.85546875" customWidth="1"/>
    <col min="16149" max="16149" width="6.28515625" customWidth="1"/>
  </cols>
  <sheetData>
    <row r="1" spans="1:24" x14ac:dyDescent="0.25">
      <c r="C1" s="32"/>
      <c r="D1" s="32"/>
      <c r="N1" s="33"/>
      <c r="O1" s="34"/>
    </row>
    <row r="2" spans="1:24" ht="15.75" thickBot="1" x14ac:dyDescent="0.3">
      <c r="A2" t="s">
        <v>118</v>
      </c>
      <c r="B2" s="35"/>
      <c r="C2" s="32" t="s">
        <v>119</v>
      </c>
      <c r="D2" s="32"/>
      <c r="O2" s="34"/>
    </row>
    <row r="3" spans="1:24" ht="16.5" thickBot="1" x14ac:dyDescent="0.35">
      <c r="B3" s="35"/>
      <c r="C3" s="32"/>
      <c r="D3" s="36" t="s">
        <v>120</v>
      </c>
      <c r="E3" s="32">
        <v>2.5</v>
      </c>
      <c r="F3" s="33" t="s">
        <v>109</v>
      </c>
      <c r="O3" s="257">
        <v>0.1</v>
      </c>
      <c r="P3" s="255"/>
      <c r="Q3" s="255"/>
      <c r="R3" s="255"/>
      <c r="S3" s="255"/>
      <c r="T3" s="255"/>
      <c r="U3" s="255"/>
      <c r="V3" s="255"/>
      <c r="W3" s="255"/>
      <c r="X3" s="256"/>
    </row>
    <row r="4" spans="1:24" ht="15.75" thickBot="1" x14ac:dyDescent="0.3">
      <c r="A4">
        <v>2.5</v>
      </c>
      <c r="C4" s="273"/>
      <c r="D4" s="37"/>
      <c r="E4" s="38"/>
      <c r="F4" s="37"/>
      <c r="G4" s="39"/>
      <c r="H4" s="40"/>
      <c r="I4" s="38"/>
      <c r="J4" s="37"/>
      <c r="K4" s="39"/>
      <c r="L4" s="2"/>
      <c r="O4" s="254" t="s">
        <v>132</v>
      </c>
      <c r="P4" s="255"/>
      <c r="Q4" s="255"/>
      <c r="R4" s="255"/>
      <c r="S4" s="255"/>
      <c r="T4" s="255"/>
      <c r="U4" s="255"/>
      <c r="V4" s="255"/>
      <c r="W4" s="255"/>
      <c r="X4" s="256"/>
    </row>
    <row r="5" spans="1:24" ht="15.75" thickBot="1" x14ac:dyDescent="0.3">
      <c r="A5">
        <v>0.22</v>
      </c>
      <c r="C5" s="274"/>
      <c r="D5" s="275">
        <v>230</v>
      </c>
      <c r="E5" s="275"/>
      <c r="F5" s="41" t="s">
        <v>121</v>
      </c>
      <c r="G5" s="42"/>
      <c r="H5" s="276">
        <v>400</v>
      </c>
      <c r="I5" s="275"/>
      <c r="J5" s="41" t="s">
        <v>121</v>
      </c>
      <c r="K5" s="42"/>
      <c r="L5" s="43"/>
      <c r="O5" s="6"/>
      <c r="P5" s="2"/>
      <c r="Q5" s="74" t="str">
        <f>IF(OR(P6/VLOOKUP($O6,$O$8:$P$12,2,0)-1&lt;-0.1,P6/VLOOKUP($O6,$O$8:$P$12,2,0)-1&gt;0),"",VLOOKUP($O6,$O$8:$P$12,2,0))</f>
        <v/>
      </c>
      <c r="R5" s="2"/>
      <c r="S5" s="2"/>
      <c r="T5" s="2"/>
      <c r="U5" s="2"/>
      <c r="V5" s="2"/>
      <c r="W5" s="74" t="str">
        <f>IF(OR(V6/VLOOKUP($U6,$U$8:$V$12,2,0)-1&lt;-0.1,V6/VLOOKUP($U6,$U$8:$V$12,2,0)-1&gt;0),"",VLOOKUP($U6,$U$8:$V$12,2,0))</f>
        <v/>
      </c>
      <c r="X5" s="7"/>
    </row>
    <row r="6" spans="1:24" ht="15.75" thickBot="1" x14ac:dyDescent="0.3">
      <c r="A6">
        <v>2.7E-2</v>
      </c>
      <c r="C6" s="44" t="s">
        <v>122</v>
      </c>
      <c r="D6" s="45" t="s">
        <v>123</v>
      </c>
      <c r="E6" s="46" t="s">
        <v>124</v>
      </c>
      <c r="F6" s="46" t="s">
        <v>125</v>
      </c>
      <c r="G6" s="46" t="s">
        <v>126</v>
      </c>
      <c r="H6" s="45" t="s">
        <v>123</v>
      </c>
      <c r="I6" s="46" t="s">
        <v>124</v>
      </c>
      <c r="J6" s="46" t="s">
        <v>125</v>
      </c>
      <c r="K6" s="46" t="s">
        <v>126</v>
      </c>
      <c r="L6" s="43"/>
      <c r="O6" s="80">
        <f>MIN(O8:O12)</f>
        <v>2.3345299145299148</v>
      </c>
      <c r="P6" s="76">
        <f>'DEVImulti calculation'!$D$18</f>
        <v>0.16547008547008546</v>
      </c>
      <c r="Q6" s="72">
        <f>VLOOKUP($O6,$O$8:$P$12,2,0)</f>
        <v>2.5</v>
      </c>
      <c r="R6" s="77">
        <f>+P6/Q6-1</f>
        <v>-0.93381196581196579</v>
      </c>
      <c r="S6" s="2"/>
      <c r="T6" s="2"/>
      <c r="U6" s="75">
        <f>MIN(U8:U12)</f>
        <v>0.45952991452991454</v>
      </c>
      <c r="V6" s="75">
        <f>'DEVImulti calculation'!$D$18</f>
        <v>0.16547008547008546</v>
      </c>
      <c r="W6" s="72">
        <f>VLOOKUP($U6,$U$8:$V$12,2,0)</f>
        <v>0.625</v>
      </c>
      <c r="X6" s="81">
        <f>+P6/W6-1</f>
        <v>-0.73524786324786329</v>
      </c>
    </row>
    <row r="7" spans="1:24" x14ac:dyDescent="0.25">
      <c r="B7" s="47"/>
      <c r="C7" s="283">
        <f>E$3*4</f>
        <v>10</v>
      </c>
      <c r="D7" s="48">
        <v>30</v>
      </c>
      <c r="E7" s="49">
        <f>$D$5/SQRT(D7*$C7)</f>
        <v>13.279056191361391</v>
      </c>
      <c r="F7" s="49">
        <f t="shared" ref="F7:F46" si="0">E7*D7</f>
        <v>398.37168574084171</v>
      </c>
      <c r="G7" s="50">
        <f t="shared" ref="G7:G46" si="1">F7/$D$5</f>
        <v>1.732050807568877</v>
      </c>
      <c r="H7" s="48">
        <v>30</v>
      </c>
      <c r="I7" s="49">
        <f>$H$5/SQRT(H7*$C7)</f>
        <v>23.094010767585029</v>
      </c>
      <c r="J7" s="49">
        <f t="shared" ref="J7:J46" si="2">I7*H7</f>
        <v>692.8203230275509</v>
      </c>
      <c r="K7" s="49">
        <f>J7/$H$5</f>
        <v>1.7320508075688772</v>
      </c>
      <c r="L7" s="51"/>
      <c r="O7" s="6"/>
      <c r="P7" s="73" t="s">
        <v>127</v>
      </c>
      <c r="Q7" s="2"/>
      <c r="R7" s="2"/>
      <c r="S7" s="2"/>
      <c r="T7" s="2"/>
      <c r="U7" s="2"/>
      <c r="V7" s="73" t="s">
        <v>128</v>
      </c>
      <c r="W7" s="2"/>
      <c r="X7" s="7"/>
    </row>
    <row r="8" spans="1:24" x14ac:dyDescent="0.25">
      <c r="B8" s="47">
        <v>1</v>
      </c>
      <c r="C8" s="284"/>
      <c r="D8" s="52">
        <v>20</v>
      </c>
      <c r="E8" s="51">
        <f>$D$5/SQRT(D8*$C7)</f>
        <v>16.263455967290593</v>
      </c>
      <c r="F8" s="51">
        <f t="shared" si="0"/>
        <v>325.26911934581187</v>
      </c>
      <c r="G8" s="53">
        <f t="shared" si="1"/>
        <v>1.4142135623730951</v>
      </c>
      <c r="H8" s="52">
        <v>20</v>
      </c>
      <c r="I8" s="51">
        <f>$H$5/SQRT(H8*$C7)</f>
        <v>28.284271247461898</v>
      </c>
      <c r="J8" s="51">
        <f t="shared" si="2"/>
        <v>565.68542494923793</v>
      </c>
      <c r="K8" s="51">
        <f t="shared" ref="K8:K46" si="3">J8/$H$5</f>
        <v>1.4142135623730949</v>
      </c>
      <c r="L8" s="51"/>
      <c r="O8" s="80">
        <f>+ABS($P$6-P8)</f>
        <v>9.8345299145299148</v>
      </c>
      <c r="P8" s="73">
        <v>10</v>
      </c>
      <c r="Q8" s="79">
        <f>+$P$6/P8-1</f>
        <v>-0.98345299145299148</v>
      </c>
      <c r="R8" s="2"/>
      <c r="S8" s="2"/>
      <c r="T8" s="2"/>
      <c r="U8" s="75">
        <f>+ABS($V$6-V8)</f>
        <v>7.3345299145299148</v>
      </c>
      <c r="V8" s="73">
        <v>7.5</v>
      </c>
      <c r="W8" s="79">
        <f>+$P$6/V8-1</f>
        <v>-0.97793732193732197</v>
      </c>
      <c r="X8" s="7"/>
    </row>
    <row r="9" spans="1:24" x14ac:dyDescent="0.25">
      <c r="C9" s="284"/>
      <c r="D9" s="54">
        <v>15</v>
      </c>
      <c r="E9" s="55">
        <f>$D$5/SQRT(D9*$C7)</f>
        <v>18.7794213613377</v>
      </c>
      <c r="F9" s="55">
        <f t="shared" si="0"/>
        <v>281.69132042006549</v>
      </c>
      <c r="G9" s="56">
        <f t="shared" si="1"/>
        <v>1.2247448713915892</v>
      </c>
      <c r="H9" s="54">
        <v>15</v>
      </c>
      <c r="I9" s="55">
        <f>$H$5/SQRT(H9*$C7)</f>
        <v>32.659863237109043</v>
      </c>
      <c r="J9" s="55">
        <f t="shared" si="2"/>
        <v>489.89794855663564</v>
      </c>
      <c r="K9" s="55">
        <f t="shared" si="3"/>
        <v>1.2247448713915892</v>
      </c>
      <c r="L9" s="51"/>
      <c r="O9" s="80">
        <f t="shared" ref="O9:O12" si="4">+ABS($P$6-P9)</f>
        <v>4.8345299145299148</v>
      </c>
      <c r="P9" s="73">
        <v>5</v>
      </c>
      <c r="Q9" s="79">
        <f t="shared" ref="Q9:Q12" si="5">+$P$6/P9-1</f>
        <v>-0.96690598290598295</v>
      </c>
      <c r="R9" s="2"/>
      <c r="S9" s="2"/>
      <c r="T9" s="2"/>
      <c r="U9" s="75">
        <f t="shared" ref="U9:U12" si="6">+ABS($V$6-V9)</f>
        <v>6.0845299145299148</v>
      </c>
      <c r="V9" s="73">
        <v>6.25</v>
      </c>
      <c r="W9" s="79">
        <f t="shared" ref="W9:W12" si="7">+$P$6/V9-1</f>
        <v>-0.97352478632478634</v>
      </c>
      <c r="X9" s="7"/>
    </row>
    <row r="10" spans="1:24" ht="15.75" thickBot="1" x14ac:dyDescent="0.3">
      <c r="C10" s="285"/>
      <c r="D10" s="57">
        <v>10</v>
      </c>
      <c r="E10" s="58">
        <f>$D$5/SQRT(D10*$C7)</f>
        <v>23</v>
      </c>
      <c r="F10" s="58">
        <f t="shared" si="0"/>
        <v>230</v>
      </c>
      <c r="G10" s="59">
        <f t="shared" si="1"/>
        <v>1</v>
      </c>
      <c r="H10" s="57">
        <v>10</v>
      </c>
      <c r="I10" s="58">
        <f>$H$5/SQRT(H10*$C7)</f>
        <v>40</v>
      </c>
      <c r="J10" s="58">
        <f t="shared" si="2"/>
        <v>400</v>
      </c>
      <c r="K10" s="58">
        <f t="shared" si="3"/>
        <v>1</v>
      </c>
      <c r="L10" s="51"/>
      <c r="O10" s="80">
        <f t="shared" si="4"/>
        <v>3.5845299145299148</v>
      </c>
      <c r="P10" s="73">
        <v>3.75</v>
      </c>
      <c r="Q10" s="79">
        <f t="shared" si="5"/>
        <v>-0.95587464387464383</v>
      </c>
      <c r="R10" s="2"/>
      <c r="S10" s="2"/>
      <c r="T10" s="2"/>
      <c r="U10" s="75">
        <f t="shared" si="6"/>
        <v>1.0845299145299145</v>
      </c>
      <c r="V10" s="73">
        <v>1.25</v>
      </c>
      <c r="W10" s="79">
        <f t="shared" si="7"/>
        <v>-0.86762393162393159</v>
      </c>
      <c r="X10" s="7"/>
    </row>
    <row r="11" spans="1:24" x14ac:dyDescent="0.25">
      <c r="C11" s="258">
        <f>E$3*3</f>
        <v>7.5</v>
      </c>
      <c r="D11" s="48">
        <v>30</v>
      </c>
      <c r="E11" s="49">
        <f>$D$5/SQRT(D11*$C11)</f>
        <v>15.333333333333334</v>
      </c>
      <c r="F11" s="49">
        <f t="shared" si="0"/>
        <v>460</v>
      </c>
      <c r="G11" s="50">
        <f t="shared" si="1"/>
        <v>2</v>
      </c>
      <c r="H11" s="48">
        <v>30</v>
      </c>
      <c r="I11" s="49">
        <f>$H$5/SQRT(H11*$C11)</f>
        <v>26.666666666666668</v>
      </c>
      <c r="J11" s="49">
        <f t="shared" si="2"/>
        <v>800</v>
      </c>
      <c r="K11" s="49">
        <f t="shared" si="3"/>
        <v>2</v>
      </c>
      <c r="L11" s="51"/>
      <c r="O11" s="80">
        <f t="shared" si="4"/>
        <v>3.1675299145299149</v>
      </c>
      <c r="P11" s="73">
        <v>3.3330000000000002</v>
      </c>
      <c r="Q11" s="79">
        <f t="shared" si="5"/>
        <v>-0.95035400975995032</v>
      </c>
      <c r="R11" s="2"/>
      <c r="S11" s="2"/>
      <c r="T11" s="2"/>
      <c r="U11" s="75">
        <f t="shared" si="6"/>
        <v>0.66782991452991458</v>
      </c>
      <c r="V11" s="73">
        <v>0.83330000000000004</v>
      </c>
      <c r="W11" s="79">
        <f t="shared" si="7"/>
        <v>-0.80142795455407967</v>
      </c>
      <c r="X11" s="7"/>
    </row>
    <row r="12" spans="1:24" ht="15.75" thickBot="1" x14ac:dyDescent="0.3">
      <c r="B12">
        <v>2</v>
      </c>
      <c r="C12" s="259"/>
      <c r="D12" s="52">
        <v>20</v>
      </c>
      <c r="E12" s="51">
        <f>$D$5/SQRT(D12*$C11)</f>
        <v>18.7794213613377</v>
      </c>
      <c r="F12" s="51">
        <f t="shared" si="0"/>
        <v>375.58842722675399</v>
      </c>
      <c r="G12" s="53">
        <f t="shared" si="1"/>
        <v>1.6329931618554521</v>
      </c>
      <c r="H12" s="52">
        <v>20</v>
      </c>
      <c r="I12" s="51">
        <f>$H$5/SQRT(H12*$C11)</f>
        <v>32.659863237109043</v>
      </c>
      <c r="J12" s="51">
        <f t="shared" si="2"/>
        <v>653.19726474218089</v>
      </c>
      <c r="K12" s="51">
        <f t="shared" si="3"/>
        <v>1.6329931618554523</v>
      </c>
      <c r="L12" s="51"/>
      <c r="O12" s="82">
        <f t="shared" si="4"/>
        <v>2.3345299145299148</v>
      </c>
      <c r="P12" s="86">
        <v>2.5</v>
      </c>
      <c r="Q12" s="84">
        <f t="shared" si="5"/>
        <v>-0.93381196581196579</v>
      </c>
      <c r="R12" s="71"/>
      <c r="S12" s="71"/>
      <c r="T12" s="71"/>
      <c r="U12" s="85">
        <f t="shared" si="6"/>
        <v>0.45952991452991454</v>
      </c>
      <c r="V12" s="86">
        <v>0.625</v>
      </c>
      <c r="W12" s="84">
        <f t="shared" si="7"/>
        <v>-0.73524786324786329</v>
      </c>
      <c r="X12" s="8"/>
    </row>
    <row r="13" spans="1:24" x14ac:dyDescent="0.25">
      <c r="C13" s="259"/>
      <c r="D13" s="54">
        <v>15</v>
      </c>
      <c r="E13" s="60">
        <f>$D$5/SQRT(D13*$C11)</f>
        <v>21.684607956387456</v>
      </c>
      <c r="F13" s="60">
        <f t="shared" si="0"/>
        <v>325.26911934581182</v>
      </c>
      <c r="G13" s="61">
        <f t="shared" si="1"/>
        <v>1.4142135623730949</v>
      </c>
      <c r="H13" s="54">
        <v>15</v>
      </c>
      <c r="I13" s="60">
        <f>$H$5/SQRT(H13*$C11)</f>
        <v>37.712361663282536</v>
      </c>
      <c r="J13" s="60">
        <f t="shared" si="2"/>
        <v>565.68542494923804</v>
      </c>
      <c r="K13" s="55">
        <f t="shared" si="3"/>
        <v>1.4142135623730951</v>
      </c>
      <c r="L13" s="51"/>
      <c r="O13" s="6"/>
      <c r="P13" s="2"/>
      <c r="Q13" s="2"/>
      <c r="R13" s="2"/>
      <c r="S13" s="2"/>
      <c r="T13" s="2"/>
      <c r="U13" s="2"/>
      <c r="V13" s="2"/>
      <c r="W13" s="2"/>
      <c r="X13" s="7"/>
    </row>
    <row r="14" spans="1:24" ht="15.75" thickBot="1" x14ac:dyDescent="0.3">
      <c r="C14" s="260"/>
      <c r="D14" s="57">
        <v>10</v>
      </c>
      <c r="E14" s="62">
        <f>$D$5/SQRT(D14*$C11)</f>
        <v>26.558112382722783</v>
      </c>
      <c r="F14" s="62">
        <f t="shared" si="0"/>
        <v>265.58112382722783</v>
      </c>
      <c r="G14" s="63">
        <f t="shared" si="1"/>
        <v>1.1547005383792515</v>
      </c>
      <c r="H14" s="57">
        <v>10</v>
      </c>
      <c r="I14" s="62">
        <f>$H$5/SQRT(H14*$C11)</f>
        <v>46.188021535170058</v>
      </c>
      <c r="J14" s="62">
        <f t="shared" si="2"/>
        <v>461.8802153517006</v>
      </c>
      <c r="K14" s="58">
        <f t="shared" si="3"/>
        <v>1.1547005383792515</v>
      </c>
      <c r="L14" s="51"/>
      <c r="O14" s="6"/>
      <c r="P14" s="2"/>
      <c r="Q14" s="2"/>
      <c r="R14" s="2"/>
      <c r="S14" s="2"/>
      <c r="T14" s="2"/>
      <c r="U14" s="2"/>
      <c r="V14" s="2"/>
      <c r="W14" s="2"/>
      <c r="X14" s="7"/>
    </row>
    <row r="15" spans="1:24" ht="15.75" thickBot="1" x14ac:dyDescent="0.3">
      <c r="C15" s="283">
        <f>(E$3/2) + E$3*2</f>
        <v>6.25</v>
      </c>
      <c r="D15" s="48">
        <v>30</v>
      </c>
      <c r="E15" s="49">
        <f>$D$5/SQRT(D15*$C15)</f>
        <v>16.796825096825092</v>
      </c>
      <c r="F15" s="49">
        <f t="shared" si="0"/>
        <v>503.90475290475274</v>
      </c>
      <c r="G15" s="50">
        <f t="shared" si="1"/>
        <v>2.1908902300206643</v>
      </c>
      <c r="H15" s="48">
        <v>30</v>
      </c>
      <c r="I15" s="49">
        <f>$H$5/SQRT(H15*$C15)</f>
        <v>29.211869733608857</v>
      </c>
      <c r="J15" s="49">
        <f t="shared" si="2"/>
        <v>876.3560920082657</v>
      </c>
      <c r="K15" s="49">
        <f t="shared" si="3"/>
        <v>2.1908902300206643</v>
      </c>
      <c r="L15" s="51"/>
      <c r="O15" s="254" t="s">
        <v>133</v>
      </c>
      <c r="P15" s="255"/>
      <c r="Q15" s="255"/>
      <c r="R15" s="255"/>
      <c r="S15" s="255"/>
      <c r="T15" s="255"/>
      <c r="U15" s="255"/>
      <c r="V15" s="255"/>
      <c r="W15" s="255"/>
      <c r="X15" s="256"/>
    </row>
    <row r="16" spans="1:24" x14ac:dyDescent="0.25">
      <c r="B16">
        <v>3</v>
      </c>
      <c r="C16" s="284"/>
      <c r="D16" s="64">
        <v>20</v>
      </c>
      <c r="E16" s="65">
        <f>$D$5/SQRT(D16*$C15)</f>
        <v>20.571825392998065</v>
      </c>
      <c r="F16" s="65">
        <f t="shared" si="0"/>
        <v>411.4365078599613</v>
      </c>
      <c r="G16" s="53">
        <f t="shared" si="1"/>
        <v>1.7888543819998317</v>
      </c>
      <c r="H16" s="64">
        <v>20</v>
      </c>
      <c r="I16" s="65">
        <f>$H$5/SQRT(H16*$C15)</f>
        <v>35.777087639996637</v>
      </c>
      <c r="J16" s="65">
        <f t="shared" si="2"/>
        <v>715.54175279993274</v>
      </c>
      <c r="K16" s="51">
        <f t="shared" si="3"/>
        <v>1.7888543819998319</v>
      </c>
      <c r="L16" s="51"/>
      <c r="O16" s="3"/>
      <c r="P16" s="4"/>
      <c r="Q16" s="87" t="str">
        <f>IF(OR(P17/VLOOKUP($O17,O19:P23,2,0)-1&lt;-0.1,P17/VLOOKUP($O17,O19:P23,2,0)-1&gt;0),"",VLOOKUP($O17,O19:P23,2,0))</f>
        <v/>
      </c>
      <c r="R16" s="4"/>
      <c r="S16" s="4"/>
      <c r="T16" s="4"/>
      <c r="U16" s="4"/>
      <c r="V16" s="4"/>
      <c r="W16" s="87" t="str">
        <f>IF(OR(V17/VLOOKUP($U17,U19:V23,2,0)-1&lt;-0.1,V17/VLOOKUP($U17,U19:V23,2,0)-1&gt;0),"",VLOOKUP($U17,U19:V23,2,0))</f>
        <v/>
      </c>
      <c r="X16" s="5"/>
    </row>
    <row r="17" spans="2:24" x14ac:dyDescent="0.25">
      <c r="C17" s="284"/>
      <c r="D17" s="66">
        <v>15</v>
      </c>
      <c r="E17" s="67">
        <f>$D$5/SQRT(D17*$C15)</f>
        <v>23.754297856738823</v>
      </c>
      <c r="F17" s="67">
        <f t="shared" si="0"/>
        <v>356.31446785108233</v>
      </c>
      <c r="G17" s="61">
        <f t="shared" si="1"/>
        <v>1.5491933384829666</v>
      </c>
      <c r="H17" s="66">
        <v>15</v>
      </c>
      <c r="I17" s="67">
        <f>$H$5/SQRT(H17*$C15)</f>
        <v>41.311822359545779</v>
      </c>
      <c r="J17" s="67">
        <f t="shared" si="2"/>
        <v>619.6773353931867</v>
      </c>
      <c r="K17" s="55">
        <f t="shared" si="3"/>
        <v>1.5491933384829668</v>
      </c>
      <c r="L17" s="51"/>
      <c r="O17" s="80">
        <f>MIN(O19:O23)</f>
        <v>2.4172649572649574</v>
      </c>
      <c r="P17" s="76">
        <f>'DEVImulti calculation'!$D$19</f>
        <v>8.273504273504273E-2</v>
      </c>
      <c r="Q17" s="72">
        <f>VLOOKUP($O17,O19:P23,2,0)</f>
        <v>2.5</v>
      </c>
      <c r="R17" s="77">
        <f>+P17/Q17-1</f>
        <v>-0.96690598290598295</v>
      </c>
      <c r="S17" s="2"/>
      <c r="T17" s="2"/>
      <c r="U17" s="75">
        <f>MIN(U19:U23)</f>
        <v>0.54226495726495727</v>
      </c>
      <c r="V17" s="75">
        <f>'DEVImulti calculation'!$D$19</f>
        <v>8.273504273504273E-2</v>
      </c>
      <c r="W17" s="72">
        <f>VLOOKUP($U17,U19:V23,2,0)</f>
        <v>0.625</v>
      </c>
      <c r="X17" s="81">
        <f>+P17/W17-1</f>
        <v>-0.86762393162393159</v>
      </c>
    </row>
    <row r="18" spans="2:24" ht="15.75" thickBot="1" x14ac:dyDescent="0.3">
      <c r="C18" s="285"/>
      <c r="D18" s="68">
        <v>10</v>
      </c>
      <c r="E18" s="69">
        <f>$D$5/SQRT(D18*$C15)</f>
        <v>29.092954473549092</v>
      </c>
      <c r="F18" s="69">
        <f t="shared" si="0"/>
        <v>290.92954473549094</v>
      </c>
      <c r="G18" s="63">
        <f t="shared" si="1"/>
        <v>1.264911064067352</v>
      </c>
      <c r="H18" s="68">
        <v>10</v>
      </c>
      <c r="I18" s="69">
        <f>$H$5/SQRT(H18*$C15)</f>
        <v>50.596442562694072</v>
      </c>
      <c r="J18" s="69">
        <f t="shared" si="2"/>
        <v>505.96442562694074</v>
      </c>
      <c r="K18" s="58">
        <f t="shared" si="3"/>
        <v>1.2649110640673518</v>
      </c>
      <c r="L18" s="51"/>
      <c r="O18" s="6"/>
      <c r="P18" s="73" t="s">
        <v>127</v>
      </c>
      <c r="Q18" s="2"/>
      <c r="R18" s="2"/>
      <c r="S18" s="2"/>
      <c r="T18" s="2"/>
      <c r="U18" s="2"/>
      <c r="V18" s="73" t="s">
        <v>128</v>
      </c>
      <c r="W18" s="2"/>
      <c r="X18" s="7"/>
    </row>
    <row r="19" spans="2:24" x14ac:dyDescent="0.25">
      <c r="C19" s="286">
        <f>$E$3*2</f>
        <v>5</v>
      </c>
      <c r="D19" s="48">
        <v>30</v>
      </c>
      <c r="E19" s="49">
        <f>$D$5/SQRT(D19*$C19)</f>
        <v>18.7794213613377</v>
      </c>
      <c r="F19" s="49">
        <f t="shared" si="0"/>
        <v>563.38264084013099</v>
      </c>
      <c r="G19" s="50">
        <f t="shared" si="1"/>
        <v>2.4494897427831783</v>
      </c>
      <c r="H19" s="48">
        <v>30</v>
      </c>
      <c r="I19" s="49">
        <f>$H$5/SQRT(H19*$C19)</f>
        <v>32.659863237109043</v>
      </c>
      <c r="J19" s="49">
        <f t="shared" si="2"/>
        <v>979.79589711327128</v>
      </c>
      <c r="K19" s="49">
        <f t="shared" si="3"/>
        <v>2.4494897427831783</v>
      </c>
      <c r="L19" s="51"/>
      <c r="O19" s="80">
        <f>+ABS($P$17-P19)</f>
        <v>9.9172649572649565</v>
      </c>
      <c r="P19" s="73">
        <v>10</v>
      </c>
      <c r="Q19" s="79">
        <f>+$P$17/P19-1</f>
        <v>-0.99172649572649574</v>
      </c>
      <c r="R19" s="2"/>
      <c r="S19" s="2"/>
      <c r="T19" s="2"/>
      <c r="U19" s="75">
        <f>+ABS($V$17-V19)</f>
        <v>7.4172649572649574</v>
      </c>
      <c r="V19" s="73">
        <v>7.5</v>
      </c>
      <c r="W19" s="79">
        <f>+$P$17/V19-1</f>
        <v>-0.98896866096866098</v>
      </c>
      <c r="X19" s="7"/>
    </row>
    <row r="20" spans="2:24" x14ac:dyDescent="0.25">
      <c r="B20">
        <v>4</v>
      </c>
      <c r="C20" s="287"/>
      <c r="D20" s="52">
        <v>20</v>
      </c>
      <c r="E20" s="51">
        <f>$D$5/SQRT(D20*$C19)</f>
        <v>23</v>
      </c>
      <c r="F20" s="51">
        <f t="shared" si="0"/>
        <v>460</v>
      </c>
      <c r="G20" s="53">
        <f t="shared" si="1"/>
        <v>2</v>
      </c>
      <c r="H20" s="52">
        <v>20</v>
      </c>
      <c r="I20" s="51">
        <f>$H$5/SQRT(H20*$C19)</f>
        <v>40</v>
      </c>
      <c r="J20" s="51">
        <f t="shared" si="2"/>
        <v>800</v>
      </c>
      <c r="K20" s="51">
        <f t="shared" si="3"/>
        <v>2</v>
      </c>
      <c r="L20" s="51"/>
      <c r="O20" s="80">
        <f t="shared" ref="O20:O23" si="8">+ABS($P$17-P20)</f>
        <v>4.9172649572649574</v>
      </c>
      <c r="P20" s="73">
        <v>5</v>
      </c>
      <c r="Q20" s="79">
        <f t="shared" ref="Q20:Q23" si="9">+$P$17/P20-1</f>
        <v>-0.98345299145299148</v>
      </c>
      <c r="R20" s="2"/>
      <c r="S20" s="2"/>
      <c r="T20" s="2"/>
      <c r="U20" s="75">
        <f t="shared" ref="U20:U23" si="10">+ABS($V$17-V20)</f>
        <v>6.1672649572649574</v>
      </c>
      <c r="V20" s="73">
        <v>6.25</v>
      </c>
      <c r="W20" s="79">
        <f t="shared" ref="W20:W23" si="11">+$P$17/V20-1</f>
        <v>-0.98676239316239311</v>
      </c>
      <c r="X20" s="7"/>
    </row>
    <row r="21" spans="2:24" x14ac:dyDescent="0.25">
      <c r="C21" s="287"/>
      <c r="D21" s="54">
        <v>15</v>
      </c>
      <c r="E21" s="60">
        <f>$D$5/SQRT(D21*$C19)</f>
        <v>26.558112382722783</v>
      </c>
      <c r="F21" s="60">
        <f t="shared" si="0"/>
        <v>398.37168574084171</v>
      </c>
      <c r="G21" s="61">
        <f t="shared" si="1"/>
        <v>1.732050807568877</v>
      </c>
      <c r="H21" s="54">
        <v>15</v>
      </c>
      <c r="I21" s="60">
        <f>$H$5/SQRT(H21*$C19)</f>
        <v>46.188021535170058</v>
      </c>
      <c r="J21" s="60">
        <f t="shared" si="2"/>
        <v>692.8203230275509</v>
      </c>
      <c r="K21" s="55">
        <f t="shared" si="3"/>
        <v>1.7320508075688772</v>
      </c>
      <c r="L21" s="51"/>
      <c r="O21" s="80">
        <f t="shared" si="8"/>
        <v>3.6672649572649574</v>
      </c>
      <c r="P21" s="73">
        <v>3.75</v>
      </c>
      <c r="Q21" s="79">
        <f t="shared" si="9"/>
        <v>-0.97793732193732197</v>
      </c>
      <c r="R21" s="2"/>
      <c r="S21" s="2"/>
      <c r="T21" s="2"/>
      <c r="U21" s="75">
        <f t="shared" si="10"/>
        <v>1.1672649572649574</v>
      </c>
      <c r="V21" s="73">
        <v>1.25</v>
      </c>
      <c r="W21" s="79">
        <f t="shared" si="11"/>
        <v>-0.93381196581196579</v>
      </c>
      <c r="X21" s="7"/>
    </row>
    <row r="22" spans="2:24" ht="15.75" thickBot="1" x14ac:dyDescent="0.3">
      <c r="C22" s="288"/>
      <c r="D22" s="57">
        <v>10</v>
      </c>
      <c r="E22" s="62">
        <f>$D$5/SQRT(D22*$C19)</f>
        <v>32.526911934581186</v>
      </c>
      <c r="F22" s="62">
        <f t="shared" si="0"/>
        <v>325.26911934581187</v>
      </c>
      <c r="G22" s="63">
        <f t="shared" si="1"/>
        <v>1.4142135623730951</v>
      </c>
      <c r="H22" s="57">
        <v>10</v>
      </c>
      <c r="I22" s="62">
        <f>$H$5/SQRT(H22*$C19)</f>
        <v>56.568542494923797</v>
      </c>
      <c r="J22" s="62">
        <f t="shared" si="2"/>
        <v>565.68542494923793</v>
      </c>
      <c r="K22" s="58">
        <f t="shared" si="3"/>
        <v>1.4142135623730949</v>
      </c>
      <c r="L22" s="51"/>
      <c r="O22" s="80">
        <f>+ABS($P$17-P22)</f>
        <v>3.2502649572649576</v>
      </c>
      <c r="P22" s="73">
        <v>3.3330000000000002</v>
      </c>
      <c r="Q22" s="79">
        <f t="shared" si="9"/>
        <v>-0.97517700487997516</v>
      </c>
      <c r="R22" s="2"/>
      <c r="S22" s="2"/>
      <c r="T22" s="2"/>
      <c r="U22" s="75">
        <f t="shared" si="10"/>
        <v>0.75056495726495731</v>
      </c>
      <c r="V22" s="73">
        <v>0.83330000000000004</v>
      </c>
      <c r="W22" s="79">
        <f>+$P$17/V22-1</f>
        <v>-0.90071397727703983</v>
      </c>
      <c r="X22" s="7"/>
    </row>
    <row r="23" spans="2:24" ht="15.75" thickBot="1" x14ac:dyDescent="0.3">
      <c r="C23" s="283">
        <f>(E$3/2) +E$3*1</f>
        <v>3.75</v>
      </c>
      <c r="D23" s="48">
        <v>30</v>
      </c>
      <c r="E23" s="49">
        <f>$D$5/SQRT(D23*$C23)</f>
        <v>21.684607956387456</v>
      </c>
      <c r="F23" s="49">
        <f t="shared" si="0"/>
        <v>650.53823869162363</v>
      </c>
      <c r="G23" s="50">
        <f t="shared" si="1"/>
        <v>2.8284271247461898</v>
      </c>
      <c r="H23" s="48">
        <v>30</v>
      </c>
      <c r="I23" s="49">
        <f>$H$5/SQRT(H23*$C23)</f>
        <v>37.712361663282536</v>
      </c>
      <c r="J23" s="49">
        <f t="shared" si="2"/>
        <v>1131.3708498984761</v>
      </c>
      <c r="K23" s="49">
        <f t="shared" si="3"/>
        <v>2.8284271247461903</v>
      </c>
      <c r="L23" s="51"/>
      <c r="O23" s="82">
        <f t="shared" si="8"/>
        <v>2.4172649572649574</v>
      </c>
      <c r="P23" s="86">
        <v>2.5</v>
      </c>
      <c r="Q23" s="84">
        <f t="shared" si="9"/>
        <v>-0.96690598290598295</v>
      </c>
      <c r="R23" s="71"/>
      <c r="S23" s="71"/>
      <c r="T23" s="71"/>
      <c r="U23" s="85">
        <f t="shared" si="10"/>
        <v>0.54226495726495727</v>
      </c>
      <c r="V23" s="86">
        <v>0.625</v>
      </c>
      <c r="W23" s="84">
        <f t="shared" si="11"/>
        <v>-0.86762393162393159</v>
      </c>
      <c r="X23" s="8"/>
    </row>
    <row r="24" spans="2:24" x14ac:dyDescent="0.25">
      <c r="B24">
        <v>5</v>
      </c>
      <c r="C24" s="284"/>
      <c r="D24" s="52">
        <v>20</v>
      </c>
      <c r="E24" s="51">
        <f>$D$5/SQRT(D24*$C23)</f>
        <v>26.558112382722783</v>
      </c>
      <c r="F24" s="51">
        <f t="shared" si="0"/>
        <v>531.16224765445565</v>
      </c>
      <c r="G24" s="53">
        <f t="shared" si="1"/>
        <v>2.3094010767585029</v>
      </c>
      <c r="H24" s="52">
        <v>20</v>
      </c>
      <c r="I24" s="51">
        <f>$H$5/SQRT(H24*$C23)</f>
        <v>46.188021535170058</v>
      </c>
      <c r="J24" s="51">
        <f t="shared" si="2"/>
        <v>923.7604307034012</v>
      </c>
      <c r="K24" s="51">
        <f t="shared" si="3"/>
        <v>2.3094010767585029</v>
      </c>
      <c r="L24" s="51"/>
    </row>
    <row r="25" spans="2:24" ht="15.75" thickBot="1" x14ac:dyDescent="0.3">
      <c r="C25" s="284"/>
      <c r="D25" s="54">
        <v>15</v>
      </c>
      <c r="E25" s="60">
        <f>$D$5/SQRT(D25*$C23)</f>
        <v>30.666666666666668</v>
      </c>
      <c r="F25" s="60">
        <f t="shared" si="0"/>
        <v>460</v>
      </c>
      <c r="G25" s="61">
        <f t="shared" si="1"/>
        <v>2</v>
      </c>
      <c r="H25" s="54">
        <v>15</v>
      </c>
      <c r="I25" s="60">
        <f>$H$5/SQRT(H25*$C23)</f>
        <v>53.333333333333336</v>
      </c>
      <c r="J25" s="60">
        <f t="shared" si="2"/>
        <v>800</v>
      </c>
      <c r="K25" s="55">
        <f t="shared" si="3"/>
        <v>2</v>
      </c>
      <c r="L25" s="51"/>
    </row>
    <row r="26" spans="2:24" ht="15.75" thickBot="1" x14ac:dyDescent="0.3">
      <c r="C26" s="285"/>
      <c r="D26" s="57">
        <v>10</v>
      </c>
      <c r="E26" s="62">
        <f>$D$5/SQRT(D26*$C23)</f>
        <v>37.558842722675401</v>
      </c>
      <c r="F26" s="62">
        <f t="shared" si="0"/>
        <v>375.58842722675399</v>
      </c>
      <c r="G26" s="63">
        <f t="shared" si="1"/>
        <v>1.6329931618554521</v>
      </c>
      <c r="H26" s="57">
        <v>10</v>
      </c>
      <c r="I26" s="62">
        <f>$H$5/SQRT(H26*$C23)</f>
        <v>65.319726474218086</v>
      </c>
      <c r="J26" s="62">
        <f t="shared" si="2"/>
        <v>653.19726474218089</v>
      </c>
      <c r="K26" s="58">
        <f t="shared" si="3"/>
        <v>1.6329931618554523</v>
      </c>
      <c r="L26" s="51"/>
      <c r="O26" s="257">
        <v>-0.33</v>
      </c>
      <c r="P26" s="255"/>
      <c r="Q26" s="255"/>
      <c r="R26" s="255"/>
      <c r="S26" s="255"/>
      <c r="T26" s="255"/>
      <c r="U26" s="255"/>
      <c r="V26" s="255"/>
      <c r="W26" s="255"/>
      <c r="X26" s="256"/>
    </row>
    <row r="27" spans="2:24" ht="15.75" thickBot="1" x14ac:dyDescent="0.3">
      <c r="C27" s="264">
        <f>(E$3/3) +E$3*1</f>
        <v>3.3333333333333335</v>
      </c>
      <c r="D27" s="48">
        <v>30</v>
      </c>
      <c r="E27" s="49">
        <f>$D$5/SQRT(D27*$C27)</f>
        <v>23</v>
      </c>
      <c r="F27" s="49">
        <f t="shared" si="0"/>
        <v>690</v>
      </c>
      <c r="G27" s="50">
        <f t="shared" si="1"/>
        <v>3</v>
      </c>
      <c r="H27" s="48">
        <v>30</v>
      </c>
      <c r="I27" s="49">
        <f>$H$5/SQRT(H27*$C27)</f>
        <v>40</v>
      </c>
      <c r="J27" s="49">
        <f t="shared" si="2"/>
        <v>1200</v>
      </c>
      <c r="K27" s="49">
        <f t="shared" si="3"/>
        <v>3</v>
      </c>
      <c r="L27" s="51"/>
      <c r="O27" s="254" t="s">
        <v>132</v>
      </c>
      <c r="P27" s="255"/>
      <c r="Q27" s="255"/>
      <c r="R27" s="255"/>
      <c r="S27" s="255"/>
      <c r="T27" s="255"/>
      <c r="U27" s="255"/>
      <c r="V27" s="255"/>
      <c r="W27" s="255"/>
      <c r="X27" s="256"/>
    </row>
    <row r="28" spans="2:24" x14ac:dyDescent="0.25">
      <c r="B28">
        <v>6</v>
      </c>
      <c r="C28" s="265"/>
      <c r="D28" s="52">
        <v>20</v>
      </c>
      <c r="E28" s="51">
        <f>$D$5/SQRT(D28*$C27)</f>
        <v>28.169132042006545</v>
      </c>
      <c r="F28" s="51">
        <f t="shared" si="0"/>
        <v>563.38264084013088</v>
      </c>
      <c r="G28" s="53">
        <f t="shared" si="1"/>
        <v>2.4494897427831779</v>
      </c>
      <c r="H28" s="52">
        <v>20</v>
      </c>
      <c r="I28" s="51">
        <f>$H$5/SQRT(H28*$C27)</f>
        <v>48.989794855663561</v>
      </c>
      <c r="J28" s="51">
        <f t="shared" si="2"/>
        <v>979.79589711327117</v>
      </c>
      <c r="K28" s="51">
        <f t="shared" si="3"/>
        <v>2.4494897427831779</v>
      </c>
      <c r="L28" s="51"/>
      <c r="O28" s="6"/>
      <c r="P28" s="2"/>
      <c r="Q28" s="74" t="str">
        <f>IF(OR(P29/VLOOKUP($O29,$O$8:$P$12,2,0)-1&lt;0,P29/VLOOKUP($O29,$O$8:$P$12,2,0)-1&gt;0.33),"",VLOOKUP($O29,$O$8:$P$12,2,0))</f>
        <v/>
      </c>
      <c r="R28" s="2"/>
      <c r="S28" s="2"/>
      <c r="T28" s="2"/>
      <c r="U28" s="2"/>
      <c r="V28" s="2"/>
      <c r="W28" s="74" t="str">
        <f>IF(OR(V29/VLOOKUP($U29,$U$8:$V$12,2,0)-1&lt;0,V29/VLOOKUP($U29,$U$8:$V$12,2,0)-1&gt;0.33),"",VLOOKUP($U29,$U$8:$V$12,2,0))</f>
        <v/>
      </c>
      <c r="X28" s="7"/>
    </row>
    <row r="29" spans="2:24" x14ac:dyDescent="0.25">
      <c r="C29" s="265"/>
      <c r="D29" s="54">
        <v>15</v>
      </c>
      <c r="E29" s="60">
        <f>$D$5/SQRT(D29*$C27)</f>
        <v>32.526911934581186</v>
      </c>
      <c r="F29" s="60">
        <f t="shared" si="0"/>
        <v>487.90367901871781</v>
      </c>
      <c r="G29" s="61">
        <f t="shared" si="1"/>
        <v>2.1213203435596428</v>
      </c>
      <c r="H29" s="54">
        <v>15</v>
      </c>
      <c r="I29" s="60">
        <f>$H$5/SQRT(H29*$C27)</f>
        <v>56.568542494923797</v>
      </c>
      <c r="J29" s="60">
        <f t="shared" si="2"/>
        <v>848.52813742385695</v>
      </c>
      <c r="K29" s="55">
        <f t="shared" si="3"/>
        <v>2.1213203435596424</v>
      </c>
      <c r="L29" s="51"/>
      <c r="O29" s="80">
        <f>MIN(O31:O35)</f>
        <v>2.3345299145299148</v>
      </c>
      <c r="P29" s="76">
        <f>'DEVImulti calculation'!$D$18</f>
        <v>0.16547008547008546</v>
      </c>
      <c r="Q29" s="72">
        <f>VLOOKUP($O29,$O$8:$P$12,2,0)</f>
        <v>2.5</v>
      </c>
      <c r="R29" s="77">
        <f>+P29/Q29-1</f>
        <v>-0.93381196581196579</v>
      </c>
      <c r="S29" s="2"/>
      <c r="T29" s="2"/>
      <c r="U29" s="75">
        <f>MIN(U31:U35)</f>
        <v>0.45952991452991454</v>
      </c>
      <c r="V29" s="75">
        <f>'DEVImulti calculation'!$D$18</f>
        <v>0.16547008547008546</v>
      </c>
      <c r="W29" s="72">
        <f>VLOOKUP($U29,$U$8:$V$12,2,0)</f>
        <v>0.625</v>
      </c>
      <c r="X29" s="81">
        <f>+P29/W29-1</f>
        <v>-0.73524786324786329</v>
      </c>
    </row>
    <row r="30" spans="2:24" ht="15.75" thickBot="1" x14ac:dyDescent="0.3">
      <c r="C30" s="266"/>
      <c r="D30" s="57">
        <v>10</v>
      </c>
      <c r="E30" s="62">
        <f>$D$5/SQRT(D30*$C27)</f>
        <v>39.837168574084174</v>
      </c>
      <c r="F30" s="62">
        <f t="shared" si="0"/>
        <v>398.37168574084171</v>
      </c>
      <c r="G30" s="63">
        <f t="shared" si="1"/>
        <v>1.732050807568877</v>
      </c>
      <c r="H30" s="57">
        <v>10</v>
      </c>
      <c r="I30" s="62">
        <f>$H$5/SQRT(H30*$C27)</f>
        <v>69.282032302755084</v>
      </c>
      <c r="J30" s="62">
        <f t="shared" si="2"/>
        <v>692.82032302755078</v>
      </c>
      <c r="K30" s="58">
        <f t="shared" si="3"/>
        <v>1.732050807568877</v>
      </c>
      <c r="L30" s="51"/>
      <c r="O30" s="6"/>
      <c r="P30" s="73" t="s">
        <v>127</v>
      </c>
      <c r="Q30" s="2"/>
      <c r="R30" s="2"/>
      <c r="S30" s="2"/>
      <c r="T30" s="2"/>
      <c r="U30" s="2"/>
      <c r="V30" s="73" t="s">
        <v>128</v>
      </c>
      <c r="W30" s="2"/>
      <c r="X30" s="7"/>
    </row>
    <row r="31" spans="2:24" x14ac:dyDescent="0.25">
      <c r="C31" s="283">
        <f>(E$3/2) +(E$3/2)</f>
        <v>2.5</v>
      </c>
      <c r="D31" s="48">
        <v>30</v>
      </c>
      <c r="E31" s="49">
        <f>$D$5/SQRT(D31*$C31)</f>
        <v>26.558112382722783</v>
      </c>
      <c r="F31" s="49">
        <f t="shared" si="0"/>
        <v>796.74337148168343</v>
      </c>
      <c r="G31" s="50">
        <f t="shared" si="1"/>
        <v>3.4641016151377539</v>
      </c>
      <c r="H31" s="48">
        <v>30</v>
      </c>
      <c r="I31" s="49">
        <f>$H$5/SQRT(H31*$C31)</f>
        <v>46.188021535170058</v>
      </c>
      <c r="J31" s="49">
        <f t="shared" si="2"/>
        <v>1385.6406460551018</v>
      </c>
      <c r="K31" s="49">
        <f t="shared" si="3"/>
        <v>3.4641016151377544</v>
      </c>
      <c r="L31" s="51"/>
      <c r="O31" s="80">
        <f>+ABS($P$6-P31)</f>
        <v>9.8345299145299148</v>
      </c>
      <c r="P31" s="73">
        <v>10</v>
      </c>
      <c r="Q31" s="79">
        <f>+$P$6/P31-1</f>
        <v>-0.98345299145299148</v>
      </c>
      <c r="R31" s="2"/>
      <c r="S31" s="2"/>
      <c r="T31" s="2"/>
      <c r="U31" s="75">
        <f>+ABS($V$6-V31)</f>
        <v>7.3345299145299148</v>
      </c>
      <c r="V31" s="73">
        <v>7.5</v>
      </c>
      <c r="W31" s="79">
        <f>+$P$6/V31-1</f>
        <v>-0.97793732193732197</v>
      </c>
      <c r="X31" s="7"/>
    </row>
    <row r="32" spans="2:24" x14ac:dyDescent="0.25">
      <c r="B32">
        <v>7</v>
      </c>
      <c r="C32" s="284"/>
      <c r="D32" s="52">
        <v>20</v>
      </c>
      <c r="E32" s="51">
        <f>$D$5/SQRT(D32*$C31)</f>
        <v>32.526911934581186</v>
      </c>
      <c r="F32" s="51">
        <f t="shared" si="0"/>
        <v>650.53823869162375</v>
      </c>
      <c r="G32" s="53">
        <f t="shared" si="1"/>
        <v>2.8284271247461903</v>
      </c>
      <c r="H32" s="52">
        <v>20</v>
      </c>
      <c r="I32" s="51">
        <f>$H$5/SQRT(H32*$C31)</f>
        <v>56.568542494923797</v>
      </c>
      <c r="J32" s="51">
        <f t="shared" si="2"/>
        <v>1131.3708498984759</v>
      </c>
      <c r="K32" s="51">
        <f t="shared" si="3"/>
        <v>2.8284271247461898</v>
      </c>
      <c r="L32" s="51"/>
      <c r="O32" s="80">
        <f t="shared" ref="O32:O35" si="12">+ABS($P$6-P32)</f>
        <v>4.8345299145299148</v>
      </c>
      <c r="P32" s="73">
        <v>5</v>
      </c>
      <c r="Q32" s="79">
        <f t="shared" ref="Q32:Q35" si="13">+$P$6/P32-1</f>
        <v>-0.96690598290598295</v>
      </c>
      <c r="R32" s="2"/>
      <c r="S32" s="2"/>
      <c r="T32" s="2"/>
      <c r="U32" s="75">
        <f t="shared" ref="U32:U35" si="14">+ABS($V$6-V32)</f>
        <v>6.0845299145299148</v>
      </c>
      <c r="V32" s="73">
        <v>6.25</v>
      </c>
      <c r="W32" s="79">
        <f t="shared" ref="W32:W35" si="15">+$P$6/V32-1</f>
        <v>-0.97352478632478634</v>
      </c>
      <c r="X32" s="7"/>
    </row>
    <row r="33" spans="2:24" x14ac:dyDescent="0.25">
      <c r="C33" s="284"/>
      <c r="D33" s="54">
        <v>15</v>
      </c>
      <c r="E33" s="60">
        <f>$D$5/SQRT(D33*$C31)</f>
        <v>37.558842722675401</v>
      </c>
      <c r="F33" s="60">
        <f t="shared" si="0"/>
        <v>563.38264084013099</v>
      </c>
      <c r="G33" s="61">
        <f t="shared" si="1"/>
        <v>2.4494897427831783</v>
      </c>
      <c r="H33" s="54">
        <v>15</v>
      </c>
      <c r="I33" s="60">
        <f>$H$5/SQRT(H33*$C31)</f>
        <v>65.319726474218086</v>
      </c>
      <c r="J33" s="60">
        <f t="shared" si="2"/>
        <v>979.79589711327128</v>
      </c>
      <c r="K33" s="55">
        <f t="shared" si="3"/>
        <v>2.4494897427831783</v>
      </c>
      <c r="L33" s="51"/>
      <c r="O33" s="80">
        <f t="shared" si="12"/>
        <v>3.5845299145299148</v>
      </c>
      <c r="P33" s="73">
        <v>3.75</v>
      </c>
      <c r="Q33" s="79">
        <f t="shared" si="13"/>
        <v>-0.95587464387464383</v>
      </c>
      <c r="R33" s="2"/>
      <c r="S33" s="2"/>
      <c r="T33" s="2"/>
      <c r="U33" s="75">
        <f t="shared" si="14"/>
        <v>1.0845299145299145</v>
      </c>
      <c r="V33" s="73">
        <v>1.25</v>
      </c>
      <c r="W33" s="79">
        <f t="shared" si="15"/>
        <v>-0.86762393162393159</v>
      </c>
      <c r="X33" s="7"/>
    </row>
    <row r="34" spans="2:24" ht="15.75" thickBot="1" x14ac:dyDescent="0.3">
      <c r="C34" s="285"/>
      <c r="D34" s="57">
        <v>10</v>
      </c>
      <c r="E34" s="62">
        <f>$D$5/SQRT(D34*$C31)</f>
        <v>46</v>
      </c>
      <c r="F34" s="62">
        <f t="shared" si="0"/>
        <v>460</v>
      </c>
      <c r="G34" s="63">
        <f t="shared" si="1"/>
        <v>2</v>
      </c>
      <c r="H34" s="57">
        <v>10</v>
      </c>
      <c r="I34" s="62">
        <f>$H$5/SQRT(H34*$C31)</f>
        <v>80</v>
      </c>
      <c r="J34" s="62">
        <f t="shared" si="2"/>
        <v>800</v>
      </c>
      <c r="K34" s="58">
        <f t="shared" si="3"/>
        <v>2</v>
      </c>
      <c r="L34" s="51"/>
      <c r="O34" s="80">
        <f t="shared" si="12"/>
        <v>3.1675299145299149</v>
      </c>
      <c r="P34" s="73">
        <v>3.3330000000000002</v>
      </c>
      <c r="Q34" s="79">
        <f t="shared" si="13"/>
        <v>-0.95035400975995032</v>
      </c>
      <c r="R34" s="2"/>
      <c r="S34" s="2"/>
      <c r="T34" s="2"/>
      <c r="U34" s="75">
        <f t="shared" si="14"/>
        <v>0.66782991452991458</v>
      </c>
      <c r="V34" s="73">
        <v>0.83330000000000004</v>
      </c>
      <c r="W34" s="79">
        <f t="shared" si="15"/>
        <v>-0.80142795455407967</v>
      </c>
      <c r="X34" s="7"/>
    </row>
    <row r="35" spans="2:24" ht="15.75" thickBot="1" x14ac:dyDescent="0.3">
      <c r="C35" s="277">
        <f>(E$3/2)</f>
        <v>1.25</v>
      </c>
      <c r="D35" s="48">
        <v>30</v>
      </c>
      <c r="E35" s="49">
        <f>$D$5/SQRT(D35*$C35)</f>
        <v>37.558842722675401</v>
      </c>
      <c r="F35" s="49">
        <f t="shared" si="0"/>
        <v>1126.765281680262</v>
      </c>
      <c r="G35" s="50">
        <f t="shared" si="1"/>
        <v>4.8989794855663567</v>
      </c>
      <c r="H35" s="48">
        <v>30</v>
      </c>
      <c r="I35" s="49">
        <f>$H$5/SQRT(H35*$C35)</f>
        <v>65.319726474218086</v>
      </c>
      <c r="J35" s="49">
        <f t="shared" si="2"/>
        <v>1959.5917942265426</v>
      </c>
      <c r="K35" s="49">
        <f t="shared" si="3"/>
        <v>4.8989794855663567</v>
      </c>
      <c r="L35" s="51"/>
      <c r="O35" s="82">
        <f t="shared" si="12"/>
        <v>2.3345299145299148</v>
      </c>
      <c r="P35" s="86">
        <v>2.5</v>
      </c>
      <c r="Q35" s="84">
        <f t="shared" si="13"/>
        <v>-0.93381196581196579</v>
      </c>
      <c r="R35" s="71"/>
      <c r="S35" s="71"/>
      <c r="T35" s="71"/>
      <c r="U35" s="85">
        <f t="shared" si="14"/>
        <v>0.45952991452991454</v>
      </c>
      <c r="V35" s="86">
        <v>0.625</v>
      </c>
      <c r="W35" s="84">
        <f t="shared" si="15"/>
        <v>-0.73524786324786329</v>
      </c>
      <c r="X35" s="8"/>
    </row>
    <row r="36" spans="2:24" x14ac:dyDescent="0.25">
      <c r="B36">
        <v>8</v>
      </c>
      <c r="C36" s="278"/>
      <c r="D36" s="52">
        <v>20</v>
      </c>
      <c r="E36" s="51">
        <f>$D$5/SQRT(D36*$C35)</f>
        <v>46</v>
      </c>
      <c r="F36" s="51">
        <f t="shared" si="0"/>
        <v>920</v>
      </c>
      <c r="G36" s="53">
        <f t="shared" si="1"/>
        <v>4</v>
      </c>
      <c r="H36" s="52">
        <v>20</v>
      </c>
      <c r="I36" s="51">
        <f>$H$5/SQRT(H36*$C35)</f>
        <v>80</v>
      </c>
      <c r="J36" s="51">
        <f t="shared" si="2"/>
        <v>1600</v>
      </c>
      <c r="K36" s="51">
        <f t="shared" si="3"/>
        <v>4</v>
      </c>
      <c r="L36" s="51"/>
      <c r="O36" s="6"/>
      <c r="P36" s="2"/>
      <c r="Q36" s="2"/>
      <c r="R36" s="2"/>
      <c r="S36" s="2"/>
      <c r="T36" s="2"/>
      <c r="U36" s="2"/>
      <c r="V36" s="2"/>
      <c r="W36" s="2"/>
      <c r="X36" s="7"/>
    </row>
    <row r="37" spans="2:24" ht="15.75" thickBot="1" x14ac:dyDescent="0.3">
      <c r="C37" s="278"/>
      <c r="D37" s="54">
        <v>15</v>
      </c>
      <c r="E37" s="60">
        <f>$D$5/SQRT(D37*$C35)</f>
        <v>53.116224765445565</v>
      </c>
      <c r="F37" s="60">
        <f t="shared" si="0"/>
        <v>796.74337148168343</v>
      </c>
      <c r="G37" s="61">
        <f t="shared" si="1"/>
        <v>3.4641016151377539</v>
      </c>
      <c r="H37" s="54">
        <v>15</v>
      </c>
      <c r="I37" s="60">
        <f>$H$5/SQRT(H37*$C35)</f>
        <v>92.376043070340117</v>
      </c>
      <c r="J37" s="60">
        <f t="shared" si="2"/>
        <v>1385.6406460551018</v>
      </c>
      <c r="K37" s="55">
        <f t="shared" si="3"/>
        <v>3.4641016151377544</v>
      </c>
      <c r="L37" s="51"/>
      <c r="O37" s="6"/>
      <c r="P37" s="2"/>
      <c r="Q37" s="2"/>
      <c r="R37" s="2"/>
      <c r="S37" s="2"/>
      <c r="T37" s="2"/>
      <c r="U37" s="2"/>
      <c r="V37" s="2"/>
      <c r="W37" s="2"/>
      <c r="X37" s="7"/>
    </row>
    <row r="38" spans="2:24" ht="15.75" thickBot="1" x14ac:dyDescent="0.3">
      <c r="C38" s="279"/>
      <c r="D38" s="57">
        <v>10</v>
      </c>
      <c r="E38" s="62">
        <f>$D$5/SQRT(D38*$C35)</f>
        <v>65.053823869162372</v>
      </c>
      <c r="F38" s="62">
        <f t="shared" si="0"/>
        <v>650.53823869162375</v>
      </c>
      <c r="G38" s="63">
        <f t="shared" si="1"/>
        <v>2.8284271247461903</v>
      </c>
      <c r="H38" s="57">
        <v>10</v>
      </c>
      <c r="I38" s="62">
        <f>$H$5/SQRT(H38*$C35)</f>
        <v>113.13708498984759</v>
      </c>
      <c r="J38" s="62">
        <f t="shared" si="2"/>
        <v>1131.3708498984759</v>
      </c>
      <c r="K38" s="58">
        <f t="shared" si="3"/>
        <v>2.8284271247461898</v>
      </c>
      <c r="L38" s="51"/>
      <c r="O38" s="254" t="s">
        <v>133</v>
      </c>
      <c r="P38" s="255"/>
      <c r="Q38" s="255"/>
      <c r="R38" s="255"/>
      <c r="S38" s="255"/>
      <c r="T38" s="255"/>
      <c r="U38" s="255"/>
      <c r="V38" s="255"/>
      <c r="W38" s="255"/>
      <c r="X38" s="256"/>
    </row>
    <row r="39" spans="2:24" x14ac:dyDescent="0.25">
      <c r="C39" s="267">
        <f>(E$3/3)</f>
        <v>0.83333333333333337</v>
      </c>
      <c r="D39" s="48">
        <v>30</v>
      </c>
      <c r="E39" s="49">
        <f>$D$5/SQRT(D39*$C39)</f>
        <v>46</v>
      </c>
      <c r="F39" s="49">
        <f t="shared" si="0"/>
        <v>1380</v>
      </c>
      <c r="G39" s="50">
        <f t="shared" si="1"/>
        <v>6</v>
      </c>
      <c r="H39" s="48">
        <v>30</v>
      </c>
      <c r="I39" s="49">
        <f>$H$5/SQRT(H39*$C39)</f>
        <v>80</v>
      </c>
      <c r="J39" s="49">
        <f t="shared" si="2"/>
        <v>2400</v>
      </c>
      <c r="K39" s="49">
        <f t="shared" si="3"/>
        <v>6</v>
      </c>
      <c r="L39" s="51"/>
      <c r="O39" s="3"/>
      <c r="P39" s="4"/>
      <c r="Q39" s="87" t="str">
        <f>IF(OR(P40/VLOOKUP($O40,O42:P46,2,0)-1&lt;0,P40/VLOOKUP($O40,O42:P46,2,0)-1&gt;0.33),"",VLOOKUP($O40,O42:P46,2,0))</f>
        <v/>
      </c>
      <c r="R39" s="4"/>
      <c r="S39" s="4"/>
      <c r="T39" s="4"/>
      <c r="U39" s="4"/>
      <c r="V39" s="4"/>
      <c r="W39" s="87" t="str">
        <f>IF(OR(V40/VLOOKUP($U40,U42:V46,2,0)-1&lt;0,V40/VLOOKUP($U40,U42:V46,2,0)-1&gt;0.33),"",VLOOKUP($U40,U42:V46,2,0))</f>
        <v/>
      </c>
      <c r="X39" s="5"/>
    </row>
    <row r="40" spans="2:24" x14ac:dyDescent="0.25">
      <c r="B40">
        <v>9</v>
      </c>
      <c r="C40" s="268"/>
      <c r="D40" s="52">
        <v>20</v>
      </c>
      <c r="E40" s="51">
        <f>$D$5/SQRT(D40*$C39)</f>
        <v>56.33826408401309</v>
      </c>
      <c r="F40" s="51">
        <f t="shared" si="0"/>
        <v>1126.7652816802618</v>
      </c>
      <c r="G40" s="53">
        <f t="shared" si="1"/>
        <v>4.8989794855663558</v>
      </c>
      <c r="H40" s="52">
        <v>20</v>
      </c>
      <c r="I40" s="51">
        <f>$H$5/SQRT(H40*$C39)</f>
        <v>97.979589711327122</v>
      </c>
      <c r="J40" s="51">
        <f t="shared" si="2"/>
        <v>1959.5917942265423</v>
      </c>
      <c r="K40" s="51">
        <f t="shared" si="3"/>
        <v>4.8989794855663558</v>
      </c>
      <c r="L40" s="51"/>
      <c r="O40" s="80">
        <f>MIN(O42:O46)</f>
        <v>2.4172649572649574</v>
      </c>
      <c r="P40" s="76">
        <f>'DEVImulti calculation'!$D$19</f>
        <v>8.273504273504273E-2</v>
      </c>
      <c r="Q40" s="72">
        <f>VLOOKUP($O40,O42:P46,2,0)</f>
        <v>2.5</v>
      </c>
      <c r="R40" s="77">
        <f>+P40/Q40-1</f>
        <v>-0.96690598290598295</v>
      </c>
      <c r="S40" s="2"/>
      <c r="T40" s="2"/>
      <c r="U40" s="75">
        <f>MIN(U42:U46)</f>
        <v>0.54226495726495727</v>
      </c>
      <c r="V40" s="75">
        <f>'DEVImulti calculation'!$D$19</f>
        <v>8.273504273504273E-2</v>
      </c>
      <c r="W40" s="72">
        <f>VLOOKUP($U40,U42:V46,2,0)</f>
        <v>0.625</v>
      </c>
      <c r="X40" s="81">
        <f>+P40/W40-1</f>
        <v>-0.86762393162393159</v>
      </c>
    </row>
    <row r="41" spans="2:24" x14ac:dyDescent="0.25">
      <c r="C41" s="268"/>
      <c r="D41" s="54">
        <v>15</v>
      </c>
      <c r="E41" s="60">
        <f>$D$5/SQRT(D41*$C39)</f>
        <v>65.053823869162372</v>
      </c>
      <c r="F41" s="60">
        <f t="shared" si="0"/>
        <v>975.80735803743562</v>
      </c>
      <c r="G41" s="61">
        <f t="shared" si="1"/>
        <v>4.2426406871192857</v>
      </c>
      <c r="H41" s="54">
        <v>15</v>
      </c>
      <c r="I41" s="60">
        <f>$H$5/SQRT(H41*$C39)</f>
        <v>113.13708498984759</v>
      </c>
      <c r="J41" s="60">
        <f t="shared" si="2"/>
        <v>1697.0562748477139</v>
      </c>
      <c r="K41" s="55">
        <f t="shared" si="3"/>
        <v>4.2426406871192848</v>
      </c>
      <c r="L41" s="51"/>
      <c r="O41" s="6"/>
      <c r="P41" s="73" t="s">
        <v>127</v>
      </c>
      <c r="Q41" s="2"/>
      <c r="R41" s="2"/>
      <c r="S41" s="2"/>
      <c r="T41" s="2"/>
      <c r="U41" s="2"/>
      <c r="V41" s="73" t="s">
        <v>128</v>
      </c>
      <c r="W41" s="2"/>
      <c r="X41" s="7"/>
    </row>
    <row r="42" spans="2:24" ht="15.75" thickBot="1" x14ac:dyDescent="0.3">
      <c r="C42" s="269"/>
      <c r="D42" s="57">
        <v>10</v>
      </c>
      <c r="E42" s="62">
        <f>$D$5/SQRT(D42*$C39)</f>
        <v>79.674337148168348</v>
      </c>
      <c r="F42" s="62">
        <f t="shared" si="0"/>
        <v>796.74337148168343</v>
      </c>
      <c r="G42" s="63">
        <f t="shared" si="1"/>
        <v>3.4641016151377539</v>
      </c>
      <c r="H42" s="57">
        <v>10</v>
      </c>
      <c r="I42" s="62">
        <f>$H$5/SQRT(H42*$C39)</f>
        <v>138.56406460551017</v>
      </c>
      <c r="J42" s="62">
        <f t="shared" si="2"/>
        <v>1385.6406460551016</v>
      </c>
      <c r="K42" s="58">
        <f t="shared" si="3"/>
        <v>3.4641016151377539</v>
      </c>
      <c r="L42" s="51"/>
      <c r="O42" s="80">
        <f>+ABS($P$17-P42)</f>
        <v>9.9172649572649565</v>
      </c>
      <c r="P42" s="73">
        <v>10</v>
      </c>
      <c r="Q42" s="79">
        <f>+$P$17/P42-1</f>
        <v>-0.99172649572649574</v>
      </c>
      <c r="R42" s="2"/>
      <c r="S42" s="2"/>
      <c r="T42" s="2"/>
      <c r="U42" s="75">
        <f>+ABS($V$17-V42)</f>
        <v>7.4172649572649574</v>
      </c>
      <c r="V42" s="73">
        <v>7.5</v>
      </c>
      <c r="W42" s="79">
        <f>+$P$17/V42-1</f>
        <v>-0.98896866096866098</v>
      </c>
      <c r="X42" s="7"/>
    </row>
    <row r="43" spans="2:24" x14ac:dyDescent="0.25">
      <c r="C43" s="264">
        <f>(E$3/4)</f>
        <v>0.625</v>
      </c>
      <c r="D43" s="48">
        <v>30</v>
      </c>
      <c r="E43" s="49">
        <f>$D$5/SQRT(D43*$C43)</f>
        <v>53.116224765445565</v>
      </c>
      <c r="F43" s="49">
        <f t="shared" si="0"/>
        <v>1593.4867429633669</v>
      </c>
      <c r="G43" s="50">
        <f t="shared" si="1"/>
        <v>6.9282032302755079</v>
      </c>
      <c r="H43" s="48">
        <v>30</v>
      </c>
      <c r="I43" s="49">
        <f>$H$5/SQRT(H43*$C43)</f>
        <v>92.376043070340117</v>
      </c>
      <c r="J43" s="49">
        <f t="shared" si="2"/>
        <v>2771.2812921102036</v>
      </c>
      <c r="K43" s="49">
        <f t="shared" si="3"/>
        <v>6.9282032302755088</v>
      </c>
      <c r="L43" s="51"/>
      <c r="O43" s="80">
        <f t="shared" ref="O43:O44" si="16">+ABS($P$17-P43)</f>
        <v>4.9172649572649574</v>
      </c>
      <c r="P43" s="73">
        <v>5</v>
      </c>
      <c r="Q43" s="79">
        <f t="shared" ref="Q43:Q46" si="17">+$P$17/P43-1</f>
        <v>-0.98345299145299148</v>
      </c>
      <c r="R43" s="2"/>
      <c r="S43" s="2"/>
      <c r="T43" s="2"/>
      <c r="U43" s="75">
        <f t="shared" ref="U43:U46" si="18">+ABS($V$17-V43)</f>
        <v>6.1672649572649574</v>
      </c>
      <c r="V43" s="73">
        <v>6.25</v>
      </c>
      <c r="W43" s="79">
        <f t="shared" ref="W43:W44" si="19">+$P$17/V43-1</f>
        <v>-0.98676239316239311</v>
      </c>
      <c r="X43" s="7"/>
    </row>
    <row r="44" spans="2:24" x14ac:dyDescent="0.25">
      <c r="B44">
        <v>10</v>
      </c>
      <c r="C44" s="265"/>
      <c r="D44" s="52">
        <v>20</v>
      </c>
      <c r="E44" s="51">
        <f>$D$5/SQRT(D44*$C43)</f>
        <v>65.053823869162372</v>
      </c>
      <c r="F44" s="51">
        <f t="shared" si="0"/>
        <v>1301.0764773832475</v>
      </c>
      <c r="G44" s="53">
        <f t="shared" si="1"/>
        <v>5.6568542494923806</v>
      </c>
      <c r="H44" s="52">
        <v>20</v>
      </c>
      <c r="I44" s="51">
        <f>$H$5/SQRT(H44*$C43)</f>
        <v>113.13708498984759</v>
      </c>
      <c r="J44" s="51">
        <f t="shared" si="2"/>
        <v>2262.7416997969517</v>
      </c>
      <c r="K44" s="51">
        <f t="shared" si="3"/>
        <v>5.6568542494923797</v>
      </c>
      <c r="L44" s="51"/>
      <c r="O44" s="80">
        <f t="shared" si="16"/>
        <v>3.6672649572649574</v>
      </c>
      <c r="P44" s="73">
        <v>3.75</v>
      </c>
      <c r="Q44" s="79">
        <f t="shared" si="17"/>
        <v>-0.97793732193732197</v>
      </c>
      <c r="R44" s="2"/>
      <c r="S44" s="2"/>
      <c r="T44" s="2"/>
      <c r="U44" s="75">
        <f t="shared" si="18"/>
        <v>1.1672649572649574</v>
      </c>
      <c r="V44" s="73">
        <v>1.25</v>
      </c>
      <c r="W44" s="79">
        <f t="shared" si="19"/>
        <v>-0.93381196581196579</v>
      </c>
      <c r="X44" s="7"/>
    </row>
    <row r="45" spans="2:24" x14ac:dyDescent="0.25">
      <c r="C45" s="265"/>
      <c r="D45" s="54">
        <v>15</v>
      </c>
      <c r="E45" s="60">
        <f>$D$5/SQRT(D45*$C43)</f>
        <v>75.117685445350801</v>
      </c>
      <c r="F45" s="60">
        <f t="shared" si="0"/>
        <v>1126.765281680262</v>
      </c>
      <c r="G45" s="61">
        <f t="shared" si="1"/>
        <v>4.8989794855663567</v>
      </c>
      <c r="H45" s="54">
        <v>15</v>
      </c>
      <c r="I45" s="60">
        <f>$H$5/SQRT(H45*$C43)</f>
        <v>130.63945294843617</v>
      </c>
      <c r="J45" s="60">
        <f t="shared" si="2"/>
        <v>1959.5917942265426</v>
      </c>
      <c r="K45" s="55">
        <f t="shared" si="3"/>
        <v>4.8989794855663567</v>
      </c>
      <c r="L45" s="51"/>
      <c r="O45" s="80">
        <f>+ABS($P$17-P45)</f>
        <v>3.2502649572649576</v>
      </c>
      <c r="P45" s="73">
        <v>3.3330000000000002</v>
      </c>
      <c r="Q45" s="79">
        <f t="shared" si="17"/>
        <v>-0.97517700487997516</v>
      </c>
      <c r="R45" s="2"/>
      <c r="S45" s="2"/>
      <c r="T45" s="2"/>
      <c r="U45" s="75">
        <f t="shared" si="18"/>
        <v>0.75056495726495731</v>
      </c>
      <c r="V45" s="73">
        <v>0.83330000000000004</v>
      </c>
      <c r="W45" s="79">
        <f>+$P$17/V45-1</f>
        <v>-0.90071397727703983</v>
      </c>
      <c r="X45" s="7"/>
    </row>
    <row r="46" spans="2:24" ht="15.75" thickBot="1" x14ac:dyDescent="0.3">
      <c r="C46" s="266"/>
      <c r="D46" s="57">
        <v>10</v>
      </c>
      <c r="E46" s="62">
        <f>$D$5/SQRT(D46*$C43)</f>
        <v>92</v>
      </c>
      <c r="F46" s="62">
        <f t="shared" si="0"/>
        <v>920</v>
      </c>
      <c r="G46" s="63">
        <f t="shared" si="1"/>
        <v>4</v>
      </c>
      <c r="H46" s="57">
        <v>10</v>
      </c>
      <c r="I46" s="62">
        <f>$H$5/SQRT(H46*$C43)</f>
        <v>160</v>
      </c>
      <c r="J46" s="62">
        <f t="shared" si="2"/>
        <v>1600</v>
      </c>
      <c r="K46" s="58">
        <f t="shared" si="3"/>
        <v>4</v>
      </c>
      <c r="L46" s="51"/>
      <c r="O46" s="82">
        <f t="shared" ref="O46" si="20">+ABS($P$17-P46)</f>
        <v>2.4172649572649574</v>
      </c>
      <c r="P46" s="86">
        <v>2.5</v>
      </c>
      <c r="Q46" s="84">
        <f t="shared" si="17"/>
        <v>-0.96690598290598295</v>
      </c>
      <c r="R46" s="71"/>
      <c r="S46" s="71"/>
      <c r="T46" s="71"/>
      <c r="U46" s="85">
        <f t="shared" si="18"/>
        <v>0.54226495726495727</v>
      </c>
      <c r="V46" s="86">
        <v>0.625</v>
      </c>
      <c r="W46" s="84">
        <f t="shared" ref="W46" si="21">+$P$17/V46-1</f>
        <v>-0.86762393162393159</v>
      </c>
      <c r="X46" s="8"/>
    </row>
    <row r="47" spans="2:24" x14ac:dyDescent="0.25">
      <c r="C47" s="267">
        <f>E$3/3</f>
        <v>0.83333333333333337</v>
      </c>
      <c r="D47" s="70">
        <v>30</v>
      </c>
      <c r="E47" s="49"/>
      <c r="F47" s="49"/>
      <c r="G47" s="50"/>
      <c r="H47" s="48">
        <v>30</v>
      </c>
      <c r="I47" s="49">
        <f>$D$5/SQRT(H47*$C47)</f>
        <v>46</v>
      </c>
      <c r="J47" s="49">
        <f>I47*H47</f>
        <v>1380</v>
      </c>
      <c r="K47" s="49">
        <f>J47/$H$5</f>
        <v>3.45</v>
      </c>
      <c r="L47" s="51"/>
      <c r="N47">
        <f>220/SQRT(3)</f>
        <v>127.01705922171767</v>
      </c>
    </row>
    <row r="48" spans="2:24" ht="15.75" thickBot="1" x14ac:dyDescent="0.3">
      <c r="B48">
        <v>11</v>
      </c>
      <c r="C48" s="268"/>
      <c r="D48" s="64">
        <v>20</v>
      </c>
      <c r="E48" s="51"/>
      <c r="F48" s="51"/>
      <c r="G48" s="53"/>
      <c r="H48" s="52">
        <v>20</v>
      </c>
      <c r="I48" s="51">
        <f>$D$5/SQRT(H48*$C47)</f>
        <v>56.33826408401309</v>
      </c>
      <c r="J48" s="51">
        <f>I48*H48</f>
        <v>1126.7652816802618</v>
      </c>
      <c r="K48" s="51">
        <f>J48/$H$5</f>
        <v>2.8169132042006542</v>
      </c>
      <c r="L48" s="51"/>
    </row>
    <row r="49" spans="3:19" ht="15.75" thickBot="1" x14ac:dyDescent="0.3">
      <c r="C49" s="268"/>
      <c r="D49" s="66">
        <v>15</v>
      </c>
      <c r="E49" s="60"/>
      <c r="F49" s="60"/>
      <c r="G49" s="61"/>
      <c r="H49" s="54">
        <v>15</v>
      </c>
      <c r="I49" s="60">
        <f>$D$5/SQRT(H49*$C47)</f>
        <v>65.053823869162372</v>
      </c>
      <c r="J49" s="60">
        <f>I49*H49</f>
        <v>975.80735803743562</v>
      </c>
      <c r="K49" s="55">
        <f>J49/$H$5</f>
        <v>2.439518395093589</v>
      </c>
      <c r="L49" s="51"/>
      <c r="P49" s="257">
        <v>-0.33</v>
      </c>
      <c r="Q49" s="255"/>
      <c r="R49" s="255"/>
      <c r="S49" s="256"/>
    </row>
    <row r="50" spans="3:19" ht="15.75" thickBot="1" x14ac:dyDescent="0.3">
      <c r="C50" s="269"/>
      <c r="D50" s="68">
        <v>10</v>
      </c>
      <c r="E50" s="62"/>
      <c r="F50" s="62"/>
      <c r="G50" s="63"/>
      <c r="H50" s="57">
        <v>10</v>
      </c>
      <c r="I50" s="62">
        <f>$D$5/SQRT(H50*$C47)</f>
        <v>79.674337148168348</v>
      </c>
      <c r="J50" s="62">
        <f>I50*H50</f>
        <v>796.74337148168343</v>
      </c>
      <c r="K50" s="58">
        <f>J50/$H$5</f>
        <v>1.9918584287042085</v>
      </c>
      <c r="L50" s="51"/>
      <c r="P50" s="6"/>
      <c r="Q50" s="2"/>
      <c r="R50" s="90" t="str">
        <f>IF(OR(Q53/Q51-1&lt;0,Q53/Q51-1&gt;0.33),"",Q53)</f>
        <v/>
      </c>
      <c r="S50" s="7"/>
    </row>
    <row r="51" spans="3:19" x14ac:dyDescent="0.25">
      <c r="P51" s="80"/>
      <c r="Q51" s="76">
        <f>'DEVImulti calculation'!$D$18</f>
        <v>0.16547008547008546</v>
      </c>
      <c r="R51" s="89"/>
      <c r="S51" s="98">
        <f>Q51/Q53-1</f>
        <v>-0.93381196581196579</v>
      </c>
    </row>
    <row r="52" spans="3:19" x14ac:dyDescent="0.25">
      <c r="P52" s="6"/>
      <c r="Q52" s="92" t="s">
        <v>142</v>
      </c>
      <c r="R52" s="2"/>
      <c r="S52" s="7"/>
    </row>
    <row r="53" spans="3:19" ht="15.75" thickBot="1" x14ac:dyDescent="0.3">
      <c r="P53" s="82"/>
      <c r="Q53" s="99">
        <v>2.5</v>
      </c>
      <c r="R53" s="93"/>
      <c r="S53" s="8"/>
    </row>
    <row r="54" spans="3:19" ht="15.75" thickBot="1" x14ac:dyDescent="0.3"/>
    <row r="55" spans="3:19" ht="15.75" thickBot="1" x14ac:dyDescent="0.3">
      <c r="P55" s="257">
        <v>0.1</v>
      </c>
      <c r="Q55" s="255"/>
      <c r="R55" s="255"/>
      <c r="S55" s="256"/>
    </row>
    <row r="56" spans="3:19" x14ac:dyDescent="0.25">
      <c r="P56" s="94"/>
      <c r="Q56" s="78"/>
      <c r="R56" s="97" t="str">
        <f>IF(OR(Q53/Q51-1&lt;-0.1,Q53/Q51-1&gt;0),"",Q53)</f>
        <v/>
      </c>
      <c r="S56" s="95"/>
    </row>
    <row r="57" spans="3:19" x14ac:dyDescent="0.25">
      <c r="P57" s="6"/>
      <c r="Q57" s="92" t="s">
        <v>142</v>
      </c>
      <c r="R57" s="2"/>
      <c r="S57" s="98">
        <f>Q51/Q58-1</f>
        <v>-0.93381196581196579</v>
      </c>
    </row>
    <row r="58" spans="3:19" ht="15.75" thickBot="1" x14ac:dyDescent="0.3">
      <c r="P58" s="96"/>
      <c r="Q58" s="99">
        <v>2.5</v>
      </c>
      <c r="R58" s="71"/>
      <c r="S58" s="8"/>
    </row>
  </sheetData>
  <mergeCells count="22">
    <mergeCell ref="C43:C46"/>
    <mergeCell ref="C47:C50"/>
    <mergeCell ref="C4:C5"/>
    <mergeCell ref="D5:E5"/>
    <mergeCell ref="H5:I5"/>
    <mergeCell ref="C7:C10"/>
    <mergeCell ref="C11:C14"/>
    <mergeCell ref="C15:C18"/>
    <mergeCell ref="C19:C22"/>
    <mergeCell ref="C23:C26"/>
    <mergeCell ref="C27:C30"/>
    <mergeCell ref="C31:C34"/>
    <mergeCell ref="C35:C38"/>
    <mergeCell ref="C39:C42"/>
    <mergeCell ref="P55:S55"/>
    <mergeCell ref="O3:X3"/>
    <mergeCell ref="O26:X26"/>
    <mergeCell ref="O27:X27"/>
    <mergeCell ref="O38:X38"/>
    <mergeCell ref="P49:S49"/>
    <mergeCell ref="O4:X4"/>
    <mergeCell ref="O15:X1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7</vt:i4>
      </vt:variant>
    </vt:vector>
  </HeadingPairs>
  <TitlesOfParts>
    <vt:vector size="14" baseType="lpstr">
      <vt:lpstr>DEVImulti calculation</vt:lpstr>
      <vt:lpstr>Data Sheet</vt:lpstr>
      <vt:lpstr>Sheet2</vt:lpstr>
      <vt:lpstr>Sheet3</vt:lpstr>
      <vt:lpstr>Sheet1</vt:lpstr>
      <vt:lpstr>Sheet4</vt:lpstr>
      <vt:lpstr>Sheet5</vt:lpstr>
      <vt:lpstr>DEVImulti_HDPE</vt:lpstr>
      <vt:lpstr>DEVImulti_PVC</vt:lpstr>
      <vt:lpstr>HDPE</vt:lpstr>
      <vt:lpstr>Plastic1</vt:lpstr>
      <vt:lpstr>PVC</vt:lpstr>
      <vt:lpstr>Resistive</vt:lpstr>
      <vt:lpstr>Self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2018-04-03T06:16:04Z</dcterms:modified>
</cp:coreProperties>
</file>